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345" windowHeight="4455" tabRatio="504"/>
  </bookViews>
  <sheets>
    <sheet name="Арматура Прайс лист" sheetId="10" r:id="rId1"/>
    <sheet name="Прайс лист ТРУБЫ" sheetId="3" r:id="rId2"/>
  </sheets>
  <externalReferences>
    <externalReference r:id="rId3"/>
  </externalReferences>
  <definedNames>
    <definedName name="_xlnm._FilterDatabase" localSheetId="1" hidden="1">'Прайс лист ТРУБЫ'!$A$24:$AD$231</definedName>
    <definedName name="_xlnm.Print_Area" localSheetId="0">'Арматура Прайс лист'!$A$1:$J$48</definedName>
    <definedName name="_xlnm.Print_Area" localSheetId="1">'Прайс лист ТРУБЫ'!$A$16:$AD$140</definedName>
  </definedNames>
  <calcPr calcId="124519" refMode="R1C1"/>
  <fileRecoveryPr repairLoad="1"/>
</workbook>
</file>

<file path=xl/calcChain.xml><?xml version="1.0" encoding="utf-8"?>
<calcChain xmlns="http://schemas.openxmlformats.org/spreadsheetml/2006/main">
  <c r="I43" i="10"/>
  <c r="H43"/>
  <c r="F37"/>
  <c r="F38"/>
  <c r="F43"/>
  <c r="Y76" i="3"/>
  <c r="E26" i="10"/>
  <c r="F26" s="1"/>
  <c r="G26"/>
  <c r="J26" s="1"/>
  <c r="H26" s="1"/>
  <c r="E23"/>
  <c r="F23" s="1"/>
  <c r="G23"/>
  <c r="J23" s="1"/>
  <c r="I23" s="1"/>
  <c r="E20"/>
  <c r="F20" s="1"/>
  <c r="G20"/>
  <c r="J20" s="1"/>
  <c r="H20" s="1"/>
  <c r="E17"/>
  <c r="F17" s="1"/>
  <c r="G17"/>
  <c r="J17" s="1"/>
  <c r="I17" s="1"/>
  <c r="E14"/>
  <c r="F14" s="1"/>
  <c r="G14"/>
  <c r="J14" s="1"/>
  <c r="H14" s="1"/>
  <c r="E11"/>
  <c r="F11" s="1"/>
  <c r="G11"/>
  <c r="J11" s="1"/>
  <c r="I11" s="1"/>
  <c r="E8"/>
  <c r="F8" s="1"/>
  <c r="G8"/>
  <c r="J8" s="1"/>
  <c r="H8" s="1"/>
  <c r="E5"/>
  <c r="F5" s="1"/>
  <c r="G5"/>
  <c r="J5" s="1"/>
  <c r="I5" s="1"/>
  <c r="E7"/>
  <c r="F7" s="1"/>
  <c r="G7"/>
  <c r="J7" s="1"/>
  <c r="I7" s="1"/>
  <c r="K62" i="3"/>
  <c r="Z28"/>
  <c r="Z63"/>
  <c r="Z30"/>
  <c r="I93"/>
  <c r="G126"/>
  <c r="Z25"/>
  <c r="Z24"/>
  <c r="X65"/>
  <c r="X54"/>
  <c r="X38"/>
  <c r="X21"/>
  <c r="X26" s="1"/>
  <c r="X56"/>
  <c r="X55"/>
  <c r="X66"/>
  <c r="I107"/>
  <c r="K49"/>
  <c r="I73"/>
  <c r="K50"/>
  <c r="I26" i="10" l="1"/>
  <c r="I20"/>
  <c r="I14"/>
  <c r="I8"/>
  <c r="H23"/>
  <c r="H17"/>
  <c r="H11"/>
  <c r="H7"/>
  <c r="H5"/>
  <c r="I70" i="3"/>
  <c r="X39" l="1"/>
  <c r="I19"/>
  <c r="K68" l="1"/>
  <c r="K80"/>
  <c r="Z42"/>
  <c r="Z41" s="1"/>
  <c r="K91"/>
  <c r="I75" l="1"/>
  <c r="I24" l="1"/>
  <c r="K27"/>
  <c r="K23" s="1"/>
  <c r="K32" l="1"/>
  <c r="K38"/>
  <c r="I66"/>
  <c r="I89"/>
  <c r="I99"/>
  <c r="I116"/>
  <c r="D116"/>
  <c r="I74"/>
  <c r="K31"/>
  <c r="I126"/>
  <c r="D19"/>
  <c r="I18"/>
  <c r="I139"/>
  <c r="I109"/>
  <c r="K69"/>
  <c r="I125"/>
  <c r="D125"/>
  <c r="I29"/>
  <c r="Z52" l="1"/>
  <c r="Z53"/>
  <c r="X78" l="1"/>
  <c r="X57"/>
  <c r="X43"/>
  <c r="X44" s="1"/>
  <c r="X33"/>
  <c r="I127"/>
  <c r="I92"/>
  <c r="K46"/>
  <c r="X76" l="1"/>
  <c r="I21"/>
  <c r="K30"/>
  <c r="K85"/>
  <c r="X85"/>
  <c r="X80"/>
  <c r="D28" l="1"/>
  <c r="D27"/>
  <c r="D24"/>
  <c r="U43"/>
  <c r="K86"/>
  <c r="D89" l="1"/>
  <c r="D18"/>
  <c r="D21"/>
  <c r="D25" l="1"/>
  <c r="D29"/>
  <c r="D33"/>
  <c r="D51"/>
  <c r="D56"/>
  <c r="D75"/>
  <c r="D127"/>
  <c r="D138"/>
  <c r="D137"/>
  <c r="K114" l="1"/>
  <c r="K22"/>
  <c r="K45" l="1"/>
  <c r="K79"/>
  <c r="K76"/>
  <c r="K26"/>
  <c r="K72" l="1"/>
  <c r="K100" s="1"/>
  <c r="D40" i="10"/>
  <c r="D41"/>
  <c r="D42"/>
  <c r="D43"/>
  <c r="D39"/>
  <c r="Z37" i="3" l="1"/>
  <c r="Z36" s="1"/>
  <c r="K77"/>
  <c r="K78" s="1"/>
  <c r="X20"/>
  <c r="X32"/>
  <c r="V44"/>
  <c r="X84"/>
  <c r="I101" l="1"/>
  <c r="Z68"/>
  <c r="I33"/>
  <c r="G38" i="10" l="1"/>
  <c r="J38" s="1"/>
  <c r="C40"/>
  <c r="AA58" i="3"/>
  <c r="AD58" s="1"/>
  <c r="I38" i="10" l="1"/>
  <c r="H38"/>
  <c r="AB58" i="3"/>
  <c r="AC58"/>
  <c r="D37" i="10" l="1"/>
  <c r="G37" s="1"/>
  <c r="J37" s="1"/>
  <c r="G36"/>
  <c r="J36" s="1"/>
  <c r="Z48" i="3"/>
  <c r="I36" i="10" l="1"/>
  <c r="H36"/>
  <c r="I37"/>
  <c r="H37"/>
  <c r="G48"/>
  <c r="L119" i="3" l="1"/>
  <c r="O119" s="1"/>
  <c r="L106"/>
  <c r="O106" s="1"/>
  <c r="L58"/>
  <c r="O58" s="1"/>
  <c r="L97"/>
  <c r="O97" s="1"/>
  <c r="K95"/>
  <c r="H93"/>
  <c r="V43"/>
  <c r="W43"/>
  <c r="Y43" l="1"/>
  <c r="AA43" s="1"/>
  <c r="AD43" s="1"/>
  <c r="AB43" s="1"/>
  <c r="M119"/>
  <c r="N119"/>
  <c r="M106"/>
  <c r="N106"/>
  <c r="M58"/>
  <c r="N58"/>
  <c r="M97"/>
  <c r="N97"/>
  <c r="AC43" l="1"/>
  <c r="I120"/>
  <c r="K71" l="1"/>
  <c r="K55"/>
  <c r="K54" s="1"/>
  <c r="K64"/>
  <c r="E4" i="10"/>
  <c r="F4" s="1"/>
  <c r="C41" l="1"/>
  <c r="C42"/>
  <c r="C43"/>
  <c r="E40"/>
  <c r="F40" s="1"/>
  <c r="E41"/>
  <c r="F41" s="1"/>
  <c r="E39"/>
  <c r="F39" s="1"/>
  <c r="E45"/>
  <c r="F45" s="1"/>
  <c r="E44"/>
  <c r="F44" s="1"/>
  <c r="E34"/>
  <c r="F34" s="1"/>
  <c r="E36"/>
  <c r="F36" s="1"/>
  <c r="E42"/>
  <c r="F42" s="1"/>
  <c r="E43"/>
  <c r="E46"/>
  <c r="F46" s="1"/>
  <c r="E47"/>
  <c r="F47" s="1"/>
  <c r="E48"/>
  <c r="F48" s="1"/>
  <c r="E33"/>
  <c r="F33" s="1"/>
  <c r="E10"/>
  <c r="F10" s="1"/>
  <c r="E13"/>
  <c r="F13" s="1"/>
  <c r="E16"/>
  <c r="F16" s="1"/>
  <c r="E19"/>
  <c r="F19" s="1"/>
  <c r="E22"/>
  <c r="F22" s="1"/>
  <c r="E25"/>
  <c r="F25" s="1"/>
  <c r="E3"/>
  <c r="F3" s="1"/>
  <c r="I135" i="3"/>
  <c r="I134"/>
  <c r="K94"/>
  <c r="W21"/>
  <c r="W71"/>
  <c r="W55" l="1"/>
  <c r="V21"/>
  <c r="W32"/>
  <c r="H99"/>
  <c r="H56"/>
  <c r="X83" l="1"/>
  <c r="X81" s="1"/>
  <c r="X82" s="1"/>
  <c r="H125"/>
  <c r="K37" l="1"/>
  <c r="I136" l="1"/>
  <c r="K82"/>
  <c r="I102" l="1"/>
  <c r="I47"/>
  <c r="I51" l="1"/>
  <c r="I56" s="1"/>
  <c r="X99"/>
  <c r="Z29"/>
  <c r="L103"/>
  <c r="O103" s="1"/>
  <c r="N103" l="1"/>
  <c r="M103"/>
  <c r="K83" l="1"/>
  <c r="K28" l="1"/>
  <c r="L28" s="1"/>
  <c r="O28" s="1"/>
  <c r="S29"/>
  <c r="AA29"/>
  <c r="AD29" s="1"/>
  <c r="AA59"/>
  <c r="AD59" s="1"/>
  <c r="V33"/>
  <c r="N28" l="1"/>
  <c r="M28"/>
  <c r="AC29"/>
  <c r="AB29"/>
  <c r="AB59"/>
  <c r="AC59"/>
  <c r="K59" l="1"/>
  <c r="AA75" l="1"/>
  <c r="Y99" l="1"/>
  <c r="AA99" s="1"/>
  <c r="AD99" s="1"/>
  <c r="AA46"/>
  <c r="AD46" s="1"/>
  <c r="AC46" s="1"/>
  <c r="L50"/>
  <c r="O50" s="1"/>
  <c r="N50" s="1"/>
  <c r="AA72"/>
  <c r="AD72" s="1"/>
  <c r="AC72" s="1"/>
  <c r="L117"/>
  <c r="O117" s="1"/>
  <c r="L128"/>
  <c r="O128" s="1"/>
  <c r="J48" i="10"/>
  <c r="G47"/>
  <c r="J47" s="1"/>
  <c r="G46"/>
  <c r="J46" s="1"/>
  <c r="G45"/>
  <c r="J45" s="1"/>
  <c r="G44"/>
  <c r="J44" s="1"/>
  <c r="G43"/>
  <c r="J43" s="1"/>
  <c r="G42"/>
  <c r="J42" s="1"/>
  <c r="G41"/>
  <c r="J41" s="1"/>
  <c r="G40"/>
  <c r="J40" s="1"/>
  <c r="G39"/>
  <c r="J39" s="1"/>
  <c r="C39"/>
  <c r="D35"/>
  <c r="C35"/>
  <c r="G34"/>
  <c r="J34" s="1"/>
  <c r="G33"/>
  <c r="J33" s="1"/>
  <c r="G25"/>
  <c r="J25" s="1"/>
  <c r="G22"/>
  <c r="J22" s="1"/>
  <c r="G19"/>
  <c r="J19" s="1"/>
  <c r="G16"/>
  <c r="J16" s="1"/>
  <c r="G13"/>
  <c r="J13" s="1"/>
  <c r="G10"/>
  <c r="J10" s="1"/>
  <c r="G4"/>
  <c r="J4" s="1"/>
  <c r="G3"/>
  <c r="J3" s="1"/>
  <c r="H45" l="1"/>
  <c r="I45"/>
  <c r="I46"/>
  <c r="H46"/>
  <c r="I44"/>
  <c r="H44"/>
  <c r="I48"/>
  <c r="H48"/>
  <c r="I47"/>
  <c r="H47"/>
  <c r="I40"/>
  <c r="H40"/>
  <c r="I42"/>
  <c r="H42"/>
  <c r="I39"/>
  <c r="H39"/>
  <c r="I41"/>
  <c r="H41"/>
  <c r="I33"/>
  <c r="H33"/>
  <c r="I34"/>
  <c r="H34"/>
  <c r="H10"/>
  <c r="I10"/>
  <c r="H16"/>
  <c r="I16"/>
  <c r="H22"/>
  <c r="I22"/>
  <c r="H3"/>
  <c r="I3"/>
  <c r="H4"/>
  <c r="I4"/>
  <c r="I13"/>
  <c r="H13"/>
  <c r="I19"/>
  <c r="H19"/>
  <c r="I25"/>
  <c r="H25"/>
  <c r="E35"/>
  <c r="F35" s="1"/>
  <c r="G35"/>
  <c r="J35" s="1"/>
  <c r="G12"/>
  <c r="J12" s="1"/>
  <c r="E12"/>
  <c r="F12" s="1"/>
  <c r="G24"/>
  <c r="J24" s="1"/>
  <c r="E24"/>
  <c r="F24" s="1"/>
  <c r="G6"/>
  <c r="J6" s="1"/>
  <c r="E6"/>
  <c r="F6" s="1"/>
  <c r="G9"/>
  <c r="J9" s="1"/>
  <c r="E9"/>
  <c r="F9" s="1"/>
  <c r="G15"/>
  <c r="J15" s="1"/>
  <c r="E15"/>
  <c r="F15" s="1"/>
  <c r="G18"/>
  <c r="J18" s="1"/>
  <c r="E18"/>
  <c r="F18" s="1"/>
  <c r="G21"/>
  <c r="J21" s="1"/>
  <c r="E21"/>
  <c r="F21" s="1"/>
  <c r="G27"/>
  <c r="J27" s="1"/>
  <c r="E27"/>
  <c r="F27" s="1"/>
  <c r="AB99" i="3"/>
  <c r="AC99"/>
  <c r="AB46"/>
  <c r="M50"/>
  <c r="AB72"/>
  <c r="M117"/>
  <c r="N117"/>
  <c r="N128"/>
  <c r="M128"/>
  <c r="I35" i="10" l="1"/>
  <c r="H35"/>
  <c r="I27"/>
  <c r="H27"/>
  <c r="I21"/>
  <c r="H21"/>
  <c r="H18"/>
  <c r="I18"/>
  <c r="I15"/>
  <c r="H15"/>
  <c r="I9"/>
  <c r="H9"/>
  <c r="H6"/>
  <c r="I6"/>
  <c r="H24"/>
  <c r="I24"/>
  <c r="H12"/>
  <c r="I12"/>
  <c r="Z73" i="3"/>
  <c r="AA47"/>
  <c r="AD47" s="1"/>
  <c r="Z40"/>
  <c r="Z23"/>
  <c r="Z27"/>
  <c r="Z34"/>
  <c r="AC47" l="1"/>
  <c r="AB47"/>
  <c r="L20" l="1"/>
  <c r="O20" s="1"/>
  <c r="M20" s="1"/>
  <c r="L81"/>
  <c r="O81" s="1"/>
  <c r="I133"/>
  <c r="L24"/>
  <c r="O24" s="1"/>
  <c r="N24" s="1"/>
  <c r="N20" l="1"/>
  <c r="N81"/>
  <c r="M81"/>
  <c r="M24"/>
  <c r="W33" l="1"/>
  <c r="Y33" s="1"/>
  <c r="AA33" s="1"/>
  <c r="AD33" s="1"/>
  <c r="AC33" l="1"/>
  <c r="AB33"/>
  <c r="H120"/>
  <c r="H118"/>
  <c r="G165" l="1"/>
  <c r="L53"/>
  <c r="O53" s="1"/>
  <c r="N53" l="1"/>
  <c r="M53"/>
  <c r="K44" l="1"/>
  <c r="K48" s="1"/>
  <c r="K52" s="1"/>
  <c r="K60" s="1"/>
  <c r="K67" s="1"/>
  <c r="X88" l="1"/>
  <c r="X91"/>
  <c r="K57" l="1"/>
  <c r="Z51"/>
  <c r="AA48"/>
  <c r="G102" l="1"/>
  <c r="G125"/>
  <c r="G153" l="1"/>
  <c r="AA31" l="1"/>
  <c r="AD31" s="1"/>
  <c r="AC31" s="1"/>
  <c r="AA60"/>
  <c r="AD60" s="1"/>
  <c r="AA61"/>
  <c r="AD61" s="1"/>
  <c r="AA62"/>
  <c r="AD62" s="1"/>
  <c r="AB31" l="1"/>
  <c r="AB61"/>
  <c r="AC61"/>
  <c r="AB62"/>
  <c r="AC62"/>
  <c r="AB60"/>
  <c r="AC60"/>
  <c r="AA45" l="1"/>
  <c r="AD45" s="1"/>
  <c r="X70"/>
  <c r="X71" s="1"/>
  <c r="AB45" l="1"/>
  <c r="AC45"/>
  <c r="AA18" l="1"/>
  <c r="AD18" s="1"/>
  <c r="AB18" l="1"/>
  <c r="AC18"/>
  <c r="I172" l="1"/>
  <c r="H172"/>
  <c r="G172"/>
  <c r="F172"/>
  <c r="I171"/>
  <c r="H171"/>
  <c r="G171"/>
  <c r="F171"/>
  <c r="I170"/>
  <c r="H170"/>
  <c r="G170"/>
  <c r="F170"/>
  <c r="I169"/>
  <c r="H169"/>
  <c r="G169"/>
  <c r="F169"/>
  <c r="I168"/>
  <c r="H168"/>
  <c r="G168"/>
  <c r="F168"/>
  <c r="I167"/>
  <c r="H167"/>
  <c r="G167"/>
  <c r="F167"/>
  <c r="I166"/>
  <c r="H166"/>
  <c r="G166"/>
  <c r="F166"/>
  <c r="H165"/>
  <c r="F165"/>
  <c r="I164"/>
  <c r="I165" s="1"/>
  <c r="H164"/>
  <c r="G164"/>
  <c r="F164"/>
  <c r="I163"/>
  <c r="H163"/>
  <c r="G163"/>
  <c r="F163"/>
  <c r="I162"/>
  <c r="H162"/>
  <c r="G162"/>
  <c r="F162"/>
  <c r="I161"/>
  <c r="H161"/>
  <c r="G161"/>
  <c r="F161"/>
  <c r="I160"/>
  <c r="H160"/>
  <c r="G160"/>
  <c r="F160"/>
  <c r="I159"/>
  <c r="H159"/>
  <c r="G159"/>
  <c r="F159"/>
  <c r="I158"/>
  <c r="H158"/>
  <c r="G158"/>
  <c r="F158"/>
  <c r="X115"/>
  <c r="W115"/>
  <c r="V115"/>
  <c r="U115"/>
  <c r="I157"/>
  <c r="H157"/>
  <c r="G157"/>
  <c r="F157"/>
  <c r="W114"/>
  <c r="V114"/>
  <c r="U114"/>
  <c r="I156"/>
  <c r="H156"/>
  <c r="G156"/>
  <c r="F156"/>
  <c r="X113"/>
  <c r="W113"/>
  <c r="V113"/>
  <c r="U113"/>
  <c r="I155"/>
  <c r="H155"/>
  <c r="G155"/>
  <c r="F155"/>
  <c r="X112"/>
  <c r="X114" s="1"/>
  <c r="W112"/>
  <c r="V112"/>
  <c r="U112"/>
  <c r="I154"/>
  <c r="H154"/>
  <c r="G154"/>
  <c r="F154"/>
  <c r="X111"/>
  <c r="W111"/>
  <c r="V111"/>
  <c r="U111"/>
  <c r="J153"/>
  <c r="L153" s="1"/>
  <c r="O153" s="1"/>
  <c r="F153"/>
  <c r="X110"/>
  <c r="W110"/>
  <c r="V110"/>
  <c r="U110"/>
  <c r="I152"/>
  <c r="H152"/>
  <c r="G152"/>
  <c r="F152"/>
  <c r="X109"/>
  <c r="W109"/>
  <c r="V109"/>
  <c r="U109"/>
  <c r="I151"/>
  <c r="H151"/>
  <c r="G151"/>
  <c r="F151"/>
  <c r="X108"/>
  <c r="V108"/>
  <c r="U108"/>
  <c r="I150"/>
  <c r="H150"/>
  <c r="G150"/>
  <c r="F150"/>
  <c r="X107"/>
  <c r="W107"/>
  <c r="V107"/>
  <c r="U107"/>
  <c r="I149"/>
  <c r="H149"/>
  <c r="G149"/>
  <c r="F149"/>
  <c r="X105"/>
  <c r="W105"/>
  <c r="V105"/>
  <c r="U105"/>
  <c r="I148"/>
  <c r="H148"/>
  <c r="G148"/>
  <c r="F148"/>
  <c r="X104"/>
  <c r="W104"/>
  <c r="V104"/>
  <c r="U104"/>
  <c r="I147"/>
  <c r="H147"/>
  <c r="G147"/>
  <c r="F147"/>
  <c r="W102"/>
  <c r="V102"/>
  <c r="U102"/>
  <c r="I146"/>
  <c r="H146"/>
  <c r="G146"/>
  <c r="F146"/>
  <c r="X101"/>
  <c r="W101"/>
  <c r="V101"/>
  <c r="U101"/>
  <c r="I145"/>
  <c r="H145"/>
  <c r="G145"/>
  <c r="F145"/>
  <c r="X100"/>
  <c r="W100"/>
  <c r="V100"/>
  <c r="U100"/>
  <c r="I144"/>
  <c r="H144"/>
  <c r="G144"/>
  <c r="F144"/>
  <c r="X98"/>
  <c r="W98"/>
  <c r="V98"/>
  <c r="U98"/>
  <c r="I143"/>
  <c r="H143"/>
  <c r="G143"/>
  <c r="F143"/>
  <c r="O140"/>
  <c r="N140" s="1"/>
  <c r="H139"/>
  <c r="G139"/>
  <c r="I138"/>
  <c r="H138"/>
  <c r="G138"/>
  <c r="I137"/>
  <c r="H137"/>
  <c r="G137"/>
  <c r="H136"/>
  <c r="G136"/>
  <c r="D136"/>
  <c r="H135"/>
  <c r="G135"/>
  <c r="D135"/>
  <c r="H134"/>
  <c r="G134"/>
  <c r="D134"/>
  <c r="H133"/>
  <c r="G133"/>
  <c r="D133"/>
  <c r="I132"/>
  <c r="H132"/>
  <c r="G132"/>
  <c r="I131"/>
  <c r="H131"/>
  <c r="G131"/>
  <c r="D131"/>
  <c r="I130"/>
  <c r="I129" s="1"/>
  <c r="H130"/>
  <c r="G130"/>
  <c r="D130"/>
  <c r="H129"/>
  <c r="G129"/>
  <c r="D129"/>
  <c r="H127"/>
  <c r="G127"/>
  <c r="H126"/>
  <c r="D126"/>
  <c r="J125"/>
  <c r="L124"/>
  <c r="O124" s="1"/>
  <c r="L123"/>
  <c r="O123" s="1"/>
  <c r="I122"/>
  <c r="H122"/>
  <c r="G122"/>
  <c r="D122"/>
  <c r="I121"/>
  <c r="H121"/>
  <c r="G121"/>
  <c r="D121"/>
  <c r="D120"/>
  <c r="H116"/>
  <c r="G116"/>
  <c r="L115"/>
  <c r="O115" s="1"/>
  <c r="L114"/>
  <c r="O114" s="1"/>
  <c r="F114"/>
  <c r="L113"/>
  <c r="O113" s="1"/>
  <c r="L112"/>
  <c r="O112" s="1"/>
  <c r="I111"/>
  <c r="H111"/>
  <c r="G111"/>
  <c r="D111"/>
  <c r="I110"/>
  <c r="H110"/>
  <c r="G110"/>
  <c r="D110"/>
  <c r="H109"/>
  <c r="G109"/>
  <c r="D109"/>
  <c r="L108"/>
  <c r="O108" s="1"/>
  <c r="F108"/>
  <c r="H107"/>
  <c r="G107"/>
  <c r="D107"/>
  <c r="L105"/>
  <c r="O105" s="1"/>
  <c r="N105" s="1"/>
  <c r="L104"/>
  <c r="O104" s="1"/>
  <c r="N104" s="1"/>
  <c r="H102"/>
  <c r="D102"/>
  <c r="H101"/>
  <c r="G101"/>
  <c r="D101"/>
  <c r="L100"/>
  <c r="O100" s="1"/>
  <c r="M100" s="1"/>
  <c r="D100"/>
  <c r="G99"/>
  <c r="D99"/>
  <c r="L98"/>
  <c r="O98" s="1"/>
  <c r="L96"/>
  <c r="O96" s="1"/>
  <c r="D95"/>
  <c r="L94"/>
  <c r="O94" s="1"/>
  <c r="D93"/>
  <c r="H92"/>
  <c r="G92"/>
  <c r="G93" s="1"/>
  <c r="D92"/>
  <c r="D91"/>
  <c r="L90"/>
  <c r="O90" s="1"/>
  <c r="H89"/>
  <c r="G89"/>
  <c r="L88"/>
  <c r="O88" s="1"/>
  <c r="L87"/>
  <c r="O87" s="1"/>
  <c r="L86"/>
  <c r="O86" s="1"/>
  <c r="N86" s="1"/>
  <c r="D86"/>
  <c r="L85"/>
  <c r="O85" s="1"/>
  <c r="F85"/>
  <c r="K84"/>
  <c r="L84" s="1"/>
  <c r="O84" s="1"/>
  <c r="L83"/>
  <c r="O83" s="1"/>
  <c r="D83"/>
  <c r="L82"/>
  <c r="O82" s="1"/>
  <c r="L80"/>
  <c r="O80" s="1"/>
  <c r="F80"/>
  <c r="X92"/>
  <c r="W92"/>
  <c r="V92"/>
  <c r="S92"/>
  <c r="L79"/>
  <c r="O79" s="1"/>
  <c r="F79"/>
  <c r="W91"/>
  <c r="V91"/>
  <c r="S91"/>
  <c r="L78"/>
  <c r="O78" s="1"/>
  <c r="D78"/>
  <c r="X90"/>
  <c r="W90"/>
  <c r="V90"/>
  <c r="S90"/>
  <c r="L77"/>
  <c r="O77" s="1"/>
  <c r="D77"/>
  <c r="X89"/>
  <c r="W89"/>
  <c r="V89"/>
  <c r="S89"/>
  <c r="L76"/>
  <c r="O76" s="1"/>
  <c r="F76"/>
  <c r="W88"/>
  <c r="V88"/>
  <c r="S88"/>
  <c r="H75"/>
  <c r="G75"/>
  <c r="X87"/>
  <c r="W87"/>
  <c r="V87"/>
  <c r="S87"/>
  <c r="H74"/>
  <c r="G74"/>
  <c r="D74"/>
  <c r="X86"/>
  <c r="W86"/>
  <c r="V86"/>
  <c r="S86"/>
  <c r="H73"/>
  <c r="G73"/>
  <c r="D73"/>
  <c r="W85"/>
  <c r="V85"/>
  <c r="S85"/>
  <c r="L72"/>
  <c r="O72" s="1"/>
  <c r="D72"/>
  <c r="W84"/>
  <c r="V84"/>
  <c r="S84"/>
  <c r="L71"/>
  <c r="O71" s="1"/>
  <c r="D71"/>
  <c r="W83"/>
  <c r="V83"/>
  <c r="S83"/>
  <c r="H70"/>
  <c r="G70"/>
  <c r="D70"/>
  <c r="W82"/>
  <c r="V82"/>
  <c r="S82"/>
  <c r="D69"/>
  <c r="W81"/>
  <c r="V81"/>
  <c r="S81"/>
  <c r="L68"/>
  <c r="O68" s="1"/>
  <c r="D68"/>
  <c r="W80"/>
  <c r="S80"/>
  <c r="F67"/>
  <c r="AA79"/>
  <c r="AD79" s="1"/>
  <c r="W78"/>
  <c r="V78"/>
  <c r="S78"/>
  <c r="H66"/>
  <c r="G66"/>
  <c r="D66"/>
  <c r="AA77"/>
  <c r="AD77" s="1"/>
  <c r="S77"/>
  <c r="L65"/>
  <c r="O65" s="1"/>
  <c r="W76"/>
  <c r="V76"/>
  <c r="S76"/>
  <c r="L64"/>
  <c r="O64" s="1"/>
  <c r="N64" s="1"/>
  <c r="D64"/>
  <c r="AD75"/>
  <c r="S75"/>
  <c r="L63"/>
  <c r="O63" s="1"/>
  <c r="N63" s="1"/>
  <c r="AA74"/>
  <c r="AD74" s="1"/>
  <c r="S74"/>
  <c r="L69"/>
  <c r="O69" s="1"/>
  <c r="D62"/>
  <c r="AA73"/>
  <c r="AD73" s="1"/>
  <c r="S73"/>
  <c r="L61"/>
  <c r="O61" s="1"/>
  <c r="S71"/>
  <c r="L67"/>
  <c r="O67" s="1"/>
  <c r="F60"/>
  <c r="W70"/>
  <c r="V70"/>
  <c r="V71" s="1"/>
  <c r="S70"/>
  <c r="L59"/>
  <c r="O59" s="1"/>
  <c r="AA69"/>
  <c r="AD69" s="1"/>
  <c r="L57"/>
  <c r="O57" s="1"/>
  <c r="AA68"/>
  <c r="AD68" s="1"/>
  <c r="AB68" s="1"/>
  <c r="S68"/>
  <c r="G56"/>
  <c r="AA67"/>
  <c r="AD67" s="1"/>
  <c r="W66"/>
  <c r="V66"/>
  <c r="S66"/>
  <c r="L55"/>
  <c r="O55" s="1"/>
  <c r="D55"/>
  <c r="W65"/>
  <c r="V65"/>
  <c r="S65"/>
  <c r="L54"/>
  <c r="O54" s="1"/>
  <c r="N54" s="1"/>
  <c r="D54"/>
  <c r="AA64"/>
  <c r="AD64" s="1"/>
  <c r="AA63"/>
  <c r="AD63" s="1"/>
  <c r="S63"/>
  <c r="F52"/>
  <c r="W57"/>
  <c r="V57"/>
  <c r="S57"/>
  <c r="H51"/>
  <c r="G51"/>
  <c r="W56"/>
  <c r="V56"/>
  <c r="S56"/>
  <c r="L49"/>
  <c r="O49" s="1"/>
  <c r="N49" s="1"/>
  <c r="D49"/>
  <c r="V55"/>
  <c r="S55"/>
  <c r="L52"/>
  <c r="O52" s="1"/>
  <c r="F48"/>
  <c r="W54"/>
  <c r="V54"/>
  <c r="S54"/>
  <c r="H47"/>
  <c r="G47"/>
  <c r="D47"/>
  <c r="AA53"/>
  <c r="AD53" s="1"/>
  <c r="AC53" s="1"/>
  <c r="S53"/>
  <c r="D46"/>
  <c r="AA52"/>
  <c r="AD52" s="1"/>
  <c r="S52"/>
  <c r="L45"/>
  <c r="O45" s="1"/>
  <c r="D45"/>
  <c r="AA51"/>
  <c r="AD51" s="1"/>
  <c r="L44"/>
  <c r="O44" s="1"/>
  <c r="F44"/>
  <c r="AA50"/>
  <c r="AD50" s="1"/>
  <c r="S50"/>
  <c r="K42"/>
  <c r="L42" s="1"/>
  <c r="O42" s="1"/>
  <c r="F42"/>
  <c r="AA49"/>
  <c r="AD49" s="1"/>
  <c r="AB49" s="1"/>
  <c r="S49"/>
  <c r="AD48"/>
  <c r="S48"/>
  <c r="K41"/>
  <c r="L41" s="1"/>
  <c r="O41" s="1"/>
  <c r="W44"/>
  <c r="S44"/>
  <c r="K40"/>
  <c r="L40" s="1"/>
  <c r="O40" s="1"/>
  <c r="F40"/>
  <c r="S42"/>
  <c r="K39"/>
  <c r="L39" s="1"/>
  <c r="O39" s="1"/>
  <c r="F39"/>
  <c r="S41"/>
  <c r="L38"/>
  <c r="O38" s="1"/>
  <c r="D38"/>
  <c r="AA40"/>
  <c r="AD40" s="1"/>
  <c r="L37"/>
  <c r="O37" s="1"/>
  <c r="N37" s="1"/>
  <c r="D37"/>
  <c r="W39"/>
  <c r="V39"/>
  <c r="S39"/>
  <c r="L36"/>
  <c r="O36" s="1"/>
  <c r="V38"/>
  <c r="S38"/>
  <c r="K35"/>
  <c r="L35" s="1"/>
  <c r="O35" s="1"/>
  <c r="F35"/>
  <c r="S37"/>
  <c r="L34"/>
  <c r="O34" s="1"/>
  <c r="S36"/>
  <c r="H33"/>
  <c r="G33"/>
  <c r="AA35"/>
  <c r="AD35" s="1"/>
  <c r="AC35" s="1"/>
  <c r="S35"/>
  <c r="L31"/>
  <c r="O31" s="1"/>
  <c r="D32"/>
  <c r="AA34"/>
  <c r="AD34" s="1"/>
  <c r="AC34" s="1"/>
  <c r="D31"/>
  <c r="W38"/>
  <c r="V32"/>
  <c r="S32"/>
  <c r="L30"/>
  <c r="O30" s="1"/>
  <c r="F30"/>
  <c r="AA30"/>
  <c r="AD30" s="1"/>
  <c r="S30"/>
  <c r="H29"/>
  <c r="G29"/>
  <c r="AA28"/>
  <c r="AD28" s="1"/>
  <c r="AC28" s="1"/>
  <c r="S28"/>
  <c r="AA27"/>
  <c r="AD27" s="1"/>
  <c r="L27"/>
  <c r="O27" s="1"/>
  <c r="W26"/>
  <c r="V26"/>
  <c r="S26"/>
  <c r="L26"/>
  <c r="O26" s="1"/>
  <c r="F26"/>
  <c r="AA25"/>
  <c r="AD25" s="1"/>
  <c r="S25"/>
  <c r="H25"/>
  <c r="G25"/>
  <c r="AA24"/>
  <c r="AD24" s="1"/>
  <c r="AC24" s="1"/>
  <c r="S24"/>
  <c r="I25"/>
  <c r="H24"/>
  <c r="G24"/>
  <c r="AA23"/>
  <c r="AD23" s="1"/>
  <c r="L23"/>
  <c r="O23" s="1"/>
  <c r="D23"/>
  <c r="AA22"/>
  <c r="AD22" s="1"/>
  <c r="S22"/>
  <c r="L22"/>
  <c r="O22" s="1"/>
  <c r="F22"/>
  <c r="W20"/>
  <c r="S21"/>
  <c r="Y21" s="1"/>
  <c r="AA21" s="1"/>
  <c r="G21"/>
  <c r="S20"/>
  <c r="H19"/>
  <c r="H21" s="1"/>
  <c r="G19"/>
  <c r="AA19"/>
  <c r="AD19" s="1"/>
  <c r="H18"/>
  <c r="G18"/>
  <c r="Y44" l="1"/>
  <c r="AA76"/>
  <c r="AD76" s="1"/>
  <c r="AB76" s="1"/>
  <c r="J66"/>
  <c r="J101"/>
  <c r="L101" s="1"/>
  <c r="O101" s="1"/>
  <c r="M101" s="1"/>
  <c r="J116"/>
  <c r="J25"/>
  <c r="J167"/>
  <c r="L167" s="1"/>
  <c r="O167" s="1"/>
  <c r="N167" s="1"/>
  <c r="J168"/>
  <c r="L168" s="1"/>
  <c r="O168" s="1"/>
  <c r="M168" s="1"/>
  <c r="J169"/>
  <c r="L169" s="1"/>
  <c r="O169" s="1"/>
  <c r="N169" s="1"/>
  <c r="Y82"/>
  <c r="AA82" s="1"/>
  <c r="AD82" s="1"/>
  <c r="AC82" s="1"/>
  <c r="J89"/>
  <c r="L89" s="1"/>
  <c r="O89" s="1"/>
  <c r="N89" s="1"/>
  <c r="J126"/>
  <c r="L126" s="1"/>
  <c r="O126" s="1"/>
  <c r="N126" s="1"/>
  <c r="J29"/>
  <c r="L29" s="1"/>
  <c r="O29" s="1"/>
  <c r="N29" s="1"/>
  <c r="J121"/>
  <c r="J170"/>
  <c r="L170" s="1"/>
  <c r="O170" s="1"/>
  <c r="N170" s="1"/>
  <c r="J135"/>
  <c r="L135" s="1"/>
  <c r="O135" s="1"/>
  <c r="M135" s="1"/>
  <c r="AA44"/>
  <c r="AD44" s="1"/>
  <c r="AC44" s="1"/>
  <c r="J137"/>
  <c r="L137" s="1"/>
  <c r="O137" s="1"/>
  <c r="N137" s="1"/>
  <c r="J171"/>
  <c r="L171" s="1"/>
  <c r="O171" s="1"/>
  <c r="M171" s="1"/>
  <c r="J172"/>
  <c r="L172" s="1"/>
  <c r="O172" s="1"/>
  <c r="M172" s="1"/>
  <c r="Y65"/>
  <c r="AA65" s="1"/>
  <c r="AD65" s="1"/>
  <c r="J139"/>
  <c r="L139" s="1"/>
  <c r="O139" s="1"/>
  <c r="M139" s="1"/>
  <c r="Y98"/>
  <c r="AA98" s="1"/>
  <c r="AD98" s="1"/>
  <c r="AC98" s="1"/>
  <c r="Y100"/>
  <c r="AA100" s="1"/>
  <c r="AD100" s="1"/>
  <c r="AB100" s="1"/>
  <c r="Y101"/>
  <c r="AA101" s="1"/>
  <c r="AD101" s="1"/>
  <c r="AC101" s="1"/>
  <c r="Y102"/>
  <c r="AA102" s="1"/>
  <c r="AD102" s="1"/>
  <c r="AC102" s="1"/>
  <c r="Y104"/>
  <c r="AA104" s="1"/>
  <c r="AD104" s="1"/>
  <c r="AB104" s="1"/>
  <c r="Y105"/>
  <c r="AA105" s="1"/>
  <c r="AD105" s="1"/>
  <c r="AB105" s="1"/>
  <c r="Y20"/>
  <c r="AA20" s="1"/>
  <c r="AD20" s="1"/>
  <c r="J151"/>
  <c r="L151" s="1"/>
  <c r="O151" s="1"/>
  <c r="M151" s="1"/>
  <c r="Y109"/>
  <c r="AA109" s="1"/>
  <c r="AD109" s="1"/>
  <c r="AC109" s="1"/>
  <c r="J152"/>
  <c r="L152" s="1"/>
  <c r="O152" s="1"/>
  <c r="M152" s="1"/>
  <c r="Y111"/>
  <c r="AA111" s="1"/>
  <c r="AD111" s="1"/>
  <c r="AC111" s="1"/>
  <c r="J154"/>
  <c r="L154" s="1"/>
  <c r="O154" s="1"/>
  <c r="M154" s="1"/>
  <c r="Y112"/>
  <c r="AA112" s="1"/>
  <c r="AD112" s="1"/>
  <c r="AC112" s="1"/>
  <c r="J155"/>
  <c r="L155" s="1"/>
  <c r="O155" s="1"/>
  <c r="M155" s="1"/>
  <c r="Y113"/>
  <c r="AA113" s="1"/>
  <c r="AD113" s="1"/>
  <c r="AC113" s="1"/>
  <c r="J156"/>
  <c r="L156" s="1"/>
  <c r="O156" s="1"/>
  <c r="M156" s="1"/>
  <c r="Y54"/>
  <c r="AA54" s="1"/>
  <c r="AD54" s="1"/>
  <c r="AB54" s="1"/>
  <c r="Y89"/>
  <c r="AA89" s="1"/>
  <c r="AD89" s="1"/>
  <c r="AC89" s="1"/>
  <c r="J130"/>
  <c r="L130" s="1"/>
  <c r="O130" s="1"/>
  <c r="N130" s="1"/>
  <c r="J131"/>
  <c r="L131" s="1"/>
  <c r="O131" s="1"/>
  <c r="M131" s="1"/>
  <c r="AB28"/>
  <c r="M63"/>
  <c r="J47"/>
  <c r="L47" s="1"/>
  <c r="O47" s="1"/>
  <c r="M47" s="1"/>
  <c r="L32"/>
  <c r="O32" s="1"/>
  <c r="M32" s="1"/>
  <c r="J159"/>
  <c r="L159" s="1"/>
  <c r="O159" s="1"/>
  <c r="M159" s="1"/>
  <c r="Y85"/>
  <c r="AA85" s="1"/>
  <c r="AD85" s="1"/>
  <c r="AC85" s="1"/>
  <c r="Y87"/>
  <c r="AA87" s="1"/>
  <c r="AD87" s="1"/>
  <c r="AC87" s="1"/>
  <c r="Y88"/>
  <c r="AA88" s="1"/>
  <c r="AD88" s="1"/>
  <c r="AC88" s="1"/>
  <c r="Y92"/>
  <c r="AA92" s="1"/>
  <c r="AD92" s="1"/>
  <c r="AC92" s="1"/>
  <c r="J134"/>
  <c r="L134" s="1"/>
  <c r="O134" s="1"/>
  <c r="N134" s="1"/>
  <c r="Y80"/>
  <c r="AA80" s="1"/>
  <c r="AD80" s="1"/>
  <c r="AB80" s="1"/>
  <c r="Y81"/>
  <c r="AA81" s="1"/>
  <c r="AD81" s="1"/>
  <c r="AC81" s="1"/>
  <c r="J161"/>
  <c r="L161" s="1"/>
  <c r="O161" s="1"/>
  <c r="M161" s="1"/>
  <c r="J107"/>
  <c r="L107" s="1"/>
  <c r="O107" s="1"/>
  <c r="N107" s="1"/>
  <c r="J127"/>
  <c r="L127" s="1"/>
  <c r="O127" s="1"/>
  <c r="M127" s="1"/>
  <c r="J136"/>
  <c r="L136" s="1"/>
  <c r="O136" s="1"/>
  <c r="N136" s="1"/>
  <c r="J18"/>
  <c r="L18" s="1"/>
  <c r="O18" s="1"/>
  <c r="M18" s="1"/>
  <c r="Y39"/>
  <c r="AA39" s="1"/>
  <c r="AD39" s="1"/>
  <c r="AB39" s="1"/>
  <c r="Y55"/>
  <c r="AA55" s="1"/>
  <c r="AD55" s="1"/>
  <c r="AC55" s="1"/>
  <c r="Y66"/>
  <c r="AA66" s="1"/>
  <c r="AD66" s="1"/>
  <c r="AC66" s="1"/>
  <c r="Y70"/>
  <c r="AA70" s="1"/>
  <c r="AD70" s="1"/>
  <c r="AC70" s="1"/>
  <c r="J109"/>
  <c r="L109" s="1"/>
  <c r="O109" s="1"/>
  <c r="N109" s="1"/>
  <c r="J110"/>
  <c r="L110" s="1"/>
  <c r="O110" s="1"/>
  <c r="M110" s="1"/>
  <c r="J111"/>
  <c r="L111" s="1"/>
  <c r="O111" s="1"/>
  <c r="N111" s="1"/>
  <c r="J164"/>
  <c r="L164" s="1"/>
  <c r="O164" s="1"/>
  <c r="N164" s="1"/>
  <c r="Y71"/>
  <c r="AA71" s="1"/>
  <c r="AD71" s="1"/>
  <c r="AC71" s="1"/>
  <c r="J102"/>
  <c r="L102" s="1"/>
  <c r="O102" s="1"/>
  <c r="N102" s="1"/>
  <c r="M140"/>
  <c r="N96"/>
  <c r="M96"/>
  <c r="N98"/>
  <c r="M98"/>
  <c r="N112"/>
  <c r="M112"/>
  <c r="N124"/>
  <c r="M124"/>
  <c r="J19"/>
  <c r="L19" s="1"/>
  <c r="O19" s="1"/>
  <c r="N19" s="1"/>
  <c r="AD21"/>
  <c r="AB21" s="1"/>
  <c r="J24"/>
  <c r="Y26"/>
  <c r="AA26" s="1"/>
  <c r="AD26" s="1"/>
  <c r="AC26" s="1"/>
  <c r="Y32"/>
  <c r="AA32" s="1"/>
  <c r="AD32" s="1"/>
  <c r="J33"/>
  <c r="L33" s="1"/>
  <c r="O33" s="1"/>
  <c r="M33" s="1"/>
  <c r="L48"/>
  <c r="O48" s="1"/>
  <c r="M48" s="1"/>
  <c r="Y56"/>
  <c r="AA56" s="1"/>
  <c r="AD56" s="1"/>
  <c r="AB56" s="1"/>
  <c r="J51"/>
  <c r="L51" s="1"/>
  <c r="O51" s="1"/>
  <c r="M51" s="1"/>
  <c r="Y57"/>
  <c r="AA57" s="1"/>
  <c r="AD57" s="1"/>
  <c r="AB57" s="1"/>
  <c r="L60"/>
  <c r="O60" s="1"/>
  <c r="N60" s="1"/>
  <c r="Y78"/>
  <c r="AA78" s="1"/>
  <c r="AD78" s="1"/>
  <c r="AC78" s="1"/>
  <c r="Y83"/>
  <c r="AA83" s="1"/>
  <c r="AD83" s="1"/>
  <c r="AB83" s="1"/>
  <c r="Y84"/>
  <c r="AA84" s="1"/>
  <c r="AD84" s="1"/>
  <c r="AC84" s="1"/>
  <c r="Y86"/>
  <c r="AA86" s="1"/>
  <c r="AD86" s="1"/>
  <c r="AB86" s="1"/>
  <c r="Y90"/>
  <c r="AA90" s="1"/>
  <c r="AD90" s="1"/>
  <c r="AC90" s="1"/>
  <c r="Y91"/>
  <c r="AA91" s="1"/>
  <c r="AD91" s="1"/>
  <c r="AC91" s="1"/>
  <c r="J92"/>
  <c r="L92" s="1"/>
  <c r="O92" s="1"/>
  <c r="N92" s="1"/>
  <c r="J99"/>
  <c r="L99" s="1"/>
  <c r="O99" s="1"/>
  <c r="M99" s="1"/>
  <c r="L121"/>
  <c r="O121" s="1"/>
  <c r="N121" s="1"/>
  <c r="J122"/>
  <c r="L122" s="1"/>
  <c r="O122" s="1"/>
  <c r="M122" s="1"/>
  <c r="L125"/>
  <c r="O125" s="1"/>
  <c r="N125" s="1"/>
  <c r="J129"/>
  <c r="L129" s="1"/>
  <c r="O129" s="1"/>
  <c r="M129" s="1"/>
  <c r="J133"/>
  <c r="L133" s="1"/>
  <c r="O133" s="1"/>
  <c r="M133" s="1"/>
  <c r="J138"/>
  <c r="L138" s="1"/>
  <c r="O138" s="1"/>
  <c r="M138" s="1"/>
  <c r="J143"/>
  <c r="L143" s="1"/>
  <c r="O143" s="1"/>
  <c r="M143" s="1"/>
  <c r="J144"/>
  <c r="L144" s="1"/>
  <c r="O144" s="1"/>
  <c r="M144" s="1"/>
  <c r="J145"/>
  <c r="L145" s="1"/>
  <c r="O145" s="1"/>
  <c r="M145" s="1"/>
  <c r="J146"/>
  <c r="L146" s="1"/>
  <c r="O146" s="1"/>
  <c r="N146" s="1"/>
  <c r="J147"/>
  <c r="L147" s="1"/>
  <c r="O147" s="1"/>
  <c r="N147" s="1"/>
  <c r="J148"/>
  <c r="L148" s="1"/>
  <c r="O148" s="1"/>
  <c r="N148" s="1"/>
  <c r="J149"/>
  <c r="L149" s="1"/>
  <c r="O149" s="1"/>
  <c r="N149" s="1"/>
  <c r="Y107"/>
  <c r="AA107" s="1"/>
  <c r="AD107" s="1"/>
  <c r="AC107" s="1"/>
  <c r="J150"/>
  <c r="L150" s="1"/>
  <c r="O150" s="1"/>
  <c r="N150" s="1"/>
  <c r="Y108"/>
  <c r="AA108" s="1"/>
  <c r="AD108" s="1"/>
  <c r="AC108" s="1"/>
  <c r="Y110"/>
  <c r="AA110" s="1"/>
  <c r="AD110" s="1"/>
  <c r="AC110" s="1"/>
  <c r="J157"/>
  <c r="L157" s="1"/>
  <c r="O157" s="1"/>
  <c r="N157" s="1"/>
  <c r="Y115"/>
  <c r="AA115" s="1"/>
  <c r="AD115" s="1"/>
  <c r="AC115" s="1"/>
  <c r="J158"/>
  <c r="L158" s="1"/>
  <c r="O158" s="1"/>
  <c r="M158" s="1"/>
  <c r="J160"/>
  <c r="L160" s="1"/>
  <c r="O160" s="1"/>
  <c r="M160" s="1"/>
  <c r="J162"/>
  <c r="L162" s="1"/>
  <c r="O162" s="1"/>
  <c r="N162" s="1"/>
  <c r="J165"/>
  <c r="L165" s="1"/>
  <c r="O165" s="1"/>
  <c r="M165" s="1"/>
  <c r="J166"/>
  <c r="L166" s="1"/>
  <c r="O166" s="1"/>
  <c r="N166" s="1"/>
  <c r="L25"/>
  <c r="O25" s="1"/>
  <c r="N25" s="1"/>
  <c r="J163"/>
  <c r="L163" s="1"/>
  <c r="O163" s="1"/>
  <c r="M163" s="1"/>
  <c r="J21"/>
  <c r="L21" s="1"/>
  <c r="O21" s="1"/>
  <c r="M21" s="1"/>
  <c r="M27"/>
  <c r="N27"/>
  <c r="AB30"/>
  <c r="AC30"/>
  <c r="N22"/>
  <c r="M22"/>
  <c r="M23"/>
  <c r="N23"/>
  <c r="AC23"/>
  <c r="AB23"/>
  <c r="N26"/>
  <c r="M26"/>
  <c r="M30"/>
  <c r="N30"/>
  <c r="M34"/>
  <c r="N34"/>
  <c r="Y38"/>
  <c r="AA38" s="1"/>
  <c r="AD38" s="1"/>
  <c r="N39"/>
  <c r="M39"/>
  <c r="M40"/>
  <c r="N40"/>
  <c r="N41"/>
  <c r="M41"/>
  <c r="M35"/>
  <c r="N35"/>
  <c r="M36"/>
  <c r="N36"/>
  <c r="M38"/>
  <c r="N38"/>
  <c r="AB35"/>
  <c r="AC49"/>
  <c r="N44"/>
  <c r="M44"/>
  <c r="M52"/>
  <c r="N52"/>
  <c r="AC67"/>
  <c r="AB67"/>
  <c r="N59"/>
  <c r="M59"/>
  <c r="AC75"/>
  <c r="AB75"/>
  <c r="N65"/>
  <c r="M65"/>
  <c r="AB77"/>
  <c r="AC77"/>
  <c r="N68"/>
  <c r="M68"/>
  <c r="N76"/>
  <c r="M76"/>
  <c r="M79"/>
  <c r="N79"/>
  <c r="N80"/>
  <c r="M80"/>
  <c r="M87"/>
  <c r="N87"/>
  <c r="N90"/>
  <c r="M90"/>
  <c r="J93"/>
  <c r="L93" s="1"/>
  <c r="O93" s="1"/>
  <c r="M93" s="1"/>
  <c r="M104"/>
  <c r="M108"/>
  <c r="N108"/>
  <c r="N113"/>
  <c r="M113"/>
  <c r="N42"/>
  <c r="M42"/>
  <c r="N67"/>
  <c r="M67"/>
  <c r="M69"/>
  <c r="N69"/>
  <c r="AC74"/>
  <c r="AB74"/>
  <c r="AC79"/>
  <c r="AB79"/>
  <c r="AB89"/>
  <c r="M77"/>
  <c r="N77"/>
  <c r="N82"/>
  <c r="M82"/>
  <c r="N83"/>
  <c r="M83"/>
  <c r="M84"/>
  <c r="N84"/>
  <c r="M88"/>
  <c r="N88"/>
  <c r="M105"/>
  <c r="N110"/>
  <c r="N115"/>
  <c r="M115"/>
  <c r="L46"/>
  <c r="O46" s="1"/>
  <c r="L62"/>
  <c r="O62" s="1"/>
  <c r="M62" s="1"/>
  <c r="AB102"/>
  <c r="N151"/>
  <c r="N152"/>
  <c r="N153"/>
  <c r="M153"/>
  <c r="N154"/>
  <c r="N155"/>
  <c r="N156"/>
  <c r="Y114"/>
  <c r="AA114" s="1"/>
  <c r="AD114" s="1"/>
  <c r="N168"/>
  <c r="N172"/>
  <c r="AC48"/>
  <c r="AB48"/>
  <c r="M85"/>
  <c r="N85"/>
  <c r="J120"/>
  <c r="L120" s="1"/>
  <c r="O120" s="1"/>
  <c r="M120" s="1"/>
  <c r="N78"/>
  <c r="M78"/>
  <c r="M123"/>
  <c r="N123"/>
  <c r="M37"/>
  <c r="AB50"/>
  <c r="AC50"/>
  <c r="AC64"/>
  <c r="AB64"/>
  <c r="M45"/>
  <c r="N45"/>
  <c r="M31"/>
  <c r="N31"/>
  <c r="M64"/>
  <c r="AB63"/>
  <c r="AC63"/>
  <c r="J56"/>
  <c r="L56" s="1"/>
  <c r="O56" s="1"/>
  <c r="M57"/>
  <c r="N57"/>
  <c r="AB73"/>
  <c r="AC73"/>
  <c r="AB69"/>
  <c r="AC69"/>
  <c r="AC68"/>
  <c r="AB51"/>
  <c r="AC51"/>
  <c r="AC40"/>
  <c r="AB40"/>
  <c r="AB34"/>
  <c r="AC27"/>
  <c r="AB27"/>
  <c r="AC22"/>
  <c r="AB22"/>
  <c r="N71"/>
  <c r="M71"/>
  <c r="N72"/>
  <c r="M72"/>
  <c r="L95"/>
  <c r="O95" s="1"/>
  <c r="L91"/>
  <c r="O91" s="1"/>
  <c r="N91" s="1"/>
  <c r="AC52"/>
  <c r="AB52"/>
  <c r="AB53"/>
  <c r="N100"/>
  <c r="AB24"/>
  <c r="AC25"/>
  <c r="AB25"/>
  <c r="AC19"/>
  <c r="AB19"/>
  <c r="L116"/>
  <c r="O116" s="1"/>
  <c r="N116" s="1"/>
  <c r="M86"/>
  <c r="M94"/>
  <c r="N94"/>
  <c r="M54"/>
  <c r="M49"/>
  <c r="N55"/>
  <c r="M55"/>
  <c r="N61"/>
  <c r="M61"/>
  <c r="M114"/>
  <c r="N114"/>
  <c r="AC105" l="1"/>
  <c r="AC100"/>
  <c r="M137"/>
  <c r="N131"/>
  <c r="M169"/>
  <c r="N171"/>
  <c r="M167"/>
  <c r="AB111"/>
  <c r="M130"/>
  <c r="N122"/>
  <c r="AB20"/>
  <c r="AC20"/>
  <c r="M170"/>
  <c r="AB113"/>
  <c r="AB101"/>
  <c r="AB84"/>
  <c r="AB110"/>
  <c r="AB70"/>
  <c r="N18"/>
  <c r="N135"/>
  <c r="AB65"/>
  <c r="AC65"/>
  <c r="N139"/>
  <c r="AC54"/>
  <c r="AB112"/>
  <c r="AB109"/>
  <c r="AC104"/>
  <c r="AB98"/>
  <c r="AB87"/>
  <c r="AB44"/>
  <c r="N161"/>
  <c r="AC83"/>
  <c r="N101"/>
  <c r="AC39"/>
  <c r="N32"/>
  <c r="AC80"/>
  <c r="M134"/>
  <c r="N159"/>
  <c r="M164"/>
  <c r="AC76"/>
  <c r="AB26"/>
  <c r="AB32"/>
  <c r="AC32"/>
  <c r="N21"/>
  <c r="N160"/>
  <c r="M149"/>
  <c r="N145"/>
  <c r="AB92"/>
  <c r="N47"/>
  <c r="M29"/>
  <c r="N127"/>
  <c r="AB55"/>
  <c r="N99"/>
  <c r="N165"/>
  <c r="AB115"/>
  <c r="M150"/>
  <c r="M147"/>
  <c r="N143"/>
  <c r="M89"/>
  <c r="AB90"/>
  <c r="M107"/>
  <c r="M95"/>
  <c r="N95"/>
  <c r="AC57"/>
  <c r="AC86"/>
  <c r="AB81"/>
  <c r="M136"/>
  <c r="M109"/>
  <c r="AB85"/>
  <c r="N163"/>
  <c r="M166"/>
  <c r="M162"/>
  <c r="N158"/>
  <c r="M157"/>
  <c r="AB108"/>
  <c r="AB107"/>
  <c r="AB88"/>
  <c r="N133"/>
  <c r="M102"/>
  <c r="AB78"/>
  <c r="M92"/>
  <c r="AB71"/>
  <c r="M19"/>
  <c r="N51"/>
  <c r="AB66"/>
  <c r="M148"/>
  <c r="M146"/>
  <c r="N144"/>
  <c r="N138"/>
  <c r="N129"/>
  <c r="M121"/>
  <c r="M111"/>
  <c r="N48"/>
  <c r="AB91"/>
  <c r="M126"/>
  <c r="M125"/>
  <c r="M60"/>
  <c r="N93"/>
  <c r="AB82"/>
  <c r="AC56"/>
  <c r="AC21"/>
  <c r="N33"/>
  <c r="M25"/>
  <c r="N62"/>
  <c r="AC38"/>
  <c r="AB38"/>
  <c r="AB114"/>
  <c r="AC114"/>
  <c r="M46"/>
  <c r="N46"/>
  <c r="N120"/>
  <c r="M91"/>
  <c r="N56"/>
  <c r="M56"/>
  <c r="M116"/>
  <c r="AA36"/>
  <c r="AD36" s="1"/>
  <c r="AC36" s="1"/>
  <c r="AB36" l="1"/>
  <c r="AA41"/>
  <c r="AD41" s="1"/>
  <c r="AA42"/>
  <c r="AD42" s="1"/>
  <c r="AA37"/>
  <c r="AD37" s="1"/>
  <c r="AC37" s="1"/>
  <c r="AB42" l="1"/>
  <c r="AC42"/>
  <c r="AB41"/>
  <c r="AC41"/>
  <c r="AB37"/>
  <c r="J75"/>
  <c r="L75" s="1"/>
  <c r="O75" s="1"/>
  <c r="M75" l="1"/>
  <c r="N75"/>
  <c r="J70"/>
  <c r="L70" s="1"/>
  <c r="O70" s="1"/>
  <c r="L66"/>
  <c r="O66" s="1"/>
  <c r="N70" l="1"/>
  <c r="M70"/>
  <c r="N66"/>
  <c r="M66"/>
  <c r="J73" l="1"/>
  <c r="L73" s="1"/>
  <c r="O73" s="1"/>
  <c r="M73" l="1"/>
  <c r="N73"/>
  <c r="J74"/>
  <c r="L74" s="1"/>
  <c r="O74" s="1"/>
  <c r="M74" l="1"/>
  <c r="N74"/>
  <c r="D132" l="1"/>
  <c r="J132" s="1"/>
  <c r="L132" s="1"/>
  <c r="O132" s="1"/>
  <c r="N132" l="1"/>
  <c r="M132"/>
  <c r="F118" l="1"/>
  <c r="J118"/>
  <c r="L118" s="1"/>
  <c r="O118" s="1"/>
  <c r="N118" l="1"/>
  <c r="M118"/>
  <c r="S34"/>
  <c r="U34"/>
  <c r="U51"/>
  <c r="S51"/>
  <c r="U40"/>
  <c r="S40"/>
  <c r="S27"/>
  <c r="U27"/>
  <c r="S69"/>
  <c r="U69"/>
  <c r="S23"/>
  <c r="U23"/>
</calcChain>
</file>

<file path=xl/sharedStrings.xml><?xml version="1.0" encoding="utf-8"?>
<sst xmlns="http://schemas.openxmlformats.org/spreadsheetml/2006/main" count="248" uniqueCount="150">
  <si>
    <t>Стенка</t>
  </si>
  <si>
    <t>1,7(2с)</t>
  </si>
  <si>
    <t>2,0(1с)</t>
  </si>
  <si>
    <t>2,0(2с)</t>
  </si>
  <si>
    <t>1,2(1с)</t>
  </si>
  <si>
    <t>1,2(2с)</t>
  </si>
  <si>
    <t>1,7(1с)</t>
  </si>
  <si>
    <t>2,1(1с)</t>
  </si>
  <si>
    <t>3,2(2с)</t>
  </si>
  <si>
    <t>3,2(1с)</t>
  </si>
  <si>
    <t>2.0(2с)</t>
  </si>
  <si>
    <t>2.0(1с)</t>
  </si>
  <si>
    <t>2,1(2с-6м)</t>
  </si>
  <si>
    <t>Арматура</t>
  </si>
  <si>
    <t>Толщина</t>
  </si>
  <si>
    <t>2,8(2с) разн</t>
  </si>
  <si>
    <t>Кэш</t>
  </si>
  <si>
    <t>пм.в 1 тонне</t>
  </si>
  <si>
    <t>Поз.</t>
  </si>
  <si>
    <t>3,0(2с)</t>
  </si>
  <si>
    <t>2,1(2с)</t>
  </si>
  <si>
    <t>Цена за тонну</t>
  </si>
  <si>
    <t>Градус</t>
  </si>
  <si>
    <t xml:space="preserve">Курс </t>
  </si>
  <si>
    <t>Шапка</t>
  </si>
  <si>
    <t>Цена за пм</t>
  </si>
  <si>
    <t>Цена за пм. С НДС</t>
  </si>
  <si>
    <t>Цена за тонну в Dollars</t>
  </si>
  <si>
    <t>Цена за тонну в Summ</t>
  </si>
  <si>
    <t>Цена за тонну, Summ</t>
  </si>
  <si>
    <t>Цена за тонну, Dollars</t>
  </si>
  <si>
    <t>Курс входящий</t>
  </si>
  <si>
    <t xml:space="preserve">Особые трубы   </t>
  </si>
  <si>
    <t>Особые Конструкционные трубы</t>
  </si>
  <si>
    <t>Ходовые трубы</t>
  </si>
  <si>
    <t>Ходовые Конструкционные трубы</t>
  </si>
  <si>
    <t>Пластик/ЯТТ</t>
  </si>
  <si>
    <t xml:space="preserve">Перечисление ТТЗ </t>
  </si>
  <si>
    <t>Перечисление Nice</t>
  </si>
  <si>
    <t>Цена за пм. ТТЗ</t>
  </si>
  <si>
    <t>Конструкционные ВГП- трубы</t>
  </si>
  <si>
    <t>цена за пм.</t>
  </si>
  <si>
    <t>Ширина</t>
  </si>
  <si>
    <t>Курс Доллара</t>
  </si>
  <si>
    <t>Длина в тонне в 1 тн.</t>
  </si>
  <si>
    <t>Длина в 1 тн.</t>
  </si>
  <si>
    <t>1,5(2с)</t>
  </si>
  <si>
    <t>273ст3</t>
  </si>
  <si>
    <t>тп 50</t>
  </si>
  <si>
    <t>тп 60</t>
  </si>
  <si>
    <t>тп 80</t>
  </si>
  <si>
    <t>тп 100</t>
  </si>
  <si>
    <t>тп 102</t>
  </si>
  <si>
    <t>Цена за тонну Тарле пласт</t>
  </si>
  <si>
    <t>тп 20</t>
  </si>
  <si>
    <t>тп13</t>
  </si>
  <si>
    <t>тп 40</t>
  </si>
  <si>
    <t>тп 30</t>
  </si>
  <si>
    <t>с</t>
  </si>
  <si>
    <t>Сотиш</t>
  </si>
  <si>
    <t xml:space="preserve"> СР 80</t>
  </si>
  <si>
    <t>СР 50</t>
  </si>
  <si>
    <t>СР 100</t>
  </si>
  <si>
    <t>15(2с)</t>
  </si>
  <si>
    <t>ср 89</t>
  </si>
  <si>
    <t>тп 32</t>
  </si>
  <si>
    <t>тп60</t>
  </si>
  <si>
    <t>тп100</t>
  </si>
  <si>
    <t>тп80</t>
  </si>
  <si>
    <t>тп40</t>
  </si>
  <si>
    <t>тп50</t>
  </si>
  <si>
    <t>тп30</t>
  </si>
  <si>
    <t>тп 50,8</t>
  </si>
  <si>
    <r>
      <t xml:space="preserve">Цена с учетом скидки при оплате </t>
    </r>
    <r>
      <rPr>
        <b/>
        <i/>
        <u/>
        <sz val="16"/>
        <color theme="1"/>
        <rFont val="Cambria"/>
        <family val="1"/>
        <charset val="204"/>
        <scheme val="major"/>
      </rPr>
      <t>НАЛИЧНЫМИ,</t>
    </r>
    <r>
      <rPr>
        <sz val="16"/>
        <color theme="1"/>
        <rFont val="Cambria"/>
        <family val="1"/>
        <charset val="204"/>
        <scheme val="major"/>
      </rPr>
      <t xml:space="preserve">  за п.м.</t>
    </r>
  </si>
  <si>
    <t>тп50,8</t>
  </si>
  <si>
    <t>Цена за Профиль</t>
  </si>
  <si>
    <t>У32х4</t>
  </si>
  <si>
    <t>У35х4</t>
  </si>
  <si>
    <t>Прут 16 Бек</t>
  </si>
  <si>
    <t>Прут 20 Бек</t>
  </si>
  <si>
    <t>Прут 16 ТТЗ</t>
  </si>
  <si>
    <t>я</t>
  </si>
  <si>
    <t>Перечисление Nice ООО</t>
  </si>
  <si>
    <r>
      <t xml:space="preserve">Цена  через </t>
    </r>
    <r>
      <rPr>
        <b/>
        <i/>
        <u/>
        <sz val="16"/>
        <color theme="1"/>
        <rFont val="Cambria"/>
        <family val="1"/>
        <charset val="204"/>
        <scheme val="major"/>
      </rPr>
      <t>ТЕРМИНАЛ ЯТТ</t>
    </r>
  </si>
  <si>
    <r>
      <t xml:space="preserve">Цена со скидки  через </t>
    </r>
    <r>
      <rPr>
        <b/>
        <i/>
        <u/>
        <sz val="16"/>
        <color theme="1"/>
        <rFont val="Cambria"/>
        <family val="1"/>
        <charset val="204"/>
        <scheme val="major"/>
      </rPr>
      <t>ТЕРМИНАЛ ЯТТ</t>
    </r>
  </si>
  <si>
    <t>Перечисление Nice  ООО</t>
  </si>
  <si>
    <t xml:space="preserve"> </t>
  </si>
  <si>
    <t xml:space="preserve"> Кыр Кв 10х10</t>
  </si>
  <si>
    <t>Кыр Кв 12х12</t>
  </si>
  <si>
    <t>тп76</t>
  </si>
  <si>
    <t>тп 76</t>
  </si>
  <si>
    <t>Тегинилмасин</t>
  </si>
  <si>
    <t>тп12,7</t>
  </si>
  <si>
    <t>тп25</t>
  </si>
  <si>
    <t>тп20</t>
  </si>
  <si>
    <t>курс</t>
  </si>
  <si>
    <t>с/с</t>
  </si>
  <si>
    <t>Цена за тн</t>
  </si>
  <si>
    <t xml:space="preserve">Перечисление NICE </t>
  </si>
  <si>
    <t>Пластик/Перечет ЯТТ</t>
  </si>
  <si>
    <t>Квадрат-Прут -Уголок</t>
  </si>
  <si>
    <t>Цена за тн.</t>
  </si>
  <si>
    <t>Кв 16х16 ТТЗ</t>
  </si>
  <si>
    <t>Прут 10 Кыр</t>
  </si>
  <si>
    <t>Прут 12 ТТЗ</t>
  </si>
  <si>
    <t>Прут 14 ТТЗ</t>
  </si>
  <si>
    <t>кат 5,5 мм ТТЗ</t>
  </si>
  <si>
    <t>кат 6,5 мм ТТЗ</t>
  </si>
  <si>
    <t>кат 8,0 мм ТТЗ</t>
  </si>
  <si>
    <t>з</t>
  </si>
  <si>
    <t>ТП60</t>
  </si>
  <si>
    <t>ТП25</t>
  </si>
  <si>
    <t>жж</t>
  </si>
  <si>
    <t>Профильные трубы</t>
  </si>
  <si>
    <t>ВГП-  трубы</t>
  </si>
  <si>
    <t>Высота</t>
  </si>
  <si>
    <t>.</t>
  </si>
  <si>
    <t>ТТЗ Кв 14х14</t>
  </si>
  <si>
    <t>ТТЗ Кв 20х20</t>
  </si>
  <si>
    <t>Цена за тн. Трубы</t>
  </si>
  <si>
    <t>Цена за тн. 1,5</t>
  </si>
  <si>
    <t>Особые трубы</t>
  </si>
  <si>
    <t>Строительные леса</t>
  </si>
  <si>
    <t>10  Арселор Казахстан</t>
  </si>
  <si>
    <t>12 ТТЗ Узбекистан</t>
  </si>
  <si>
    <t>14 ТТЗ Узбекистан</t>
  </si>
  <si>
    <t>28 ТТЗ Узбекистан</t>
  </si>
  <si>
    <t>25 ТТЗ Узбекистан</t>
  </si>
  <si>
    <t>22 ТТЗ Узбекистан</t>
  </si>
  <si>
    <t>20 ТТЗ Узбекистан</t>
  </si>
  <si>
    <t>16 ТТЗ Узбекистан</t>
  </si>
  <si>
    <t>18 ТТЗ Узбекистан</t>
  </si>
  <si>
    <t>14 Арселор Казахстан</t>
  </si>
  <si>
    <t>16 Арселор Казахстан</t>
  </si>
  <si>
    <t>18 Арселор Казахстан</t>
  </si>
  <si>
    <t>20 Арселор Казахстан</t>
  </si>
  <si>
    <t>22 Арселор Казахстан</t>
  </si>
  <si>
    <t>25 Арселор Казахстан</t>
  </si>
  <si>
    <t>28 Арселор Казахстан</t>
  </si>
  <si>
    <t>12  Северсталь Россия</t>
  </si>
  <si>
    <t>12 Арселор Казахстан</t>
  </si>
  <si>
    <t>28  Северсталь  Россия</t>
  </si>
  <si>
    <t>16 Северсталь  Россия</t>
  </si>
  <si>
    <t>14 Северсталь  Россия</t>
  </si>
  <si>
    <t>18  Северсталь Россия</t>
  </si>
  <si>
    <t>20 Северсталь  Россия</t>
  </si>
  <si>
    <t>22 Северсталь  Россия</t>
  </si>
  <si>
    <t>25 Северсталь  Россия</t>
  </si>
  <si>
    <t>Цена перечислением</t>
  </si>
  <si>
    <t>Цена  наличными</t>
  </si>
</sst>
</file>

<file path=xl/styles.xml><?xml version="1.0" encoding="utf-8"?>
<styleSheet xmlns="http://schemas.openxmlformats.org/spreadsheetml/2006/main">
  <numFmts count="11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\ &quot;₽&quot;_-;\-* #,##0.00\ &quot;₽&quot;_-;_-* &quot;-&quot;??\ &quot;₽&quot;_-;_-@_-"/>
    <numFmt numFmtId="165" formatCode="0.0"/>
    <numFmt numFmtId="166" formatCode="_-* #,##0_р_._-;\-* #,##0_р_._-;_-* &quot;-&quot;??_р_._-;_-@_-"/>
    <numFmt numFmtId="167" formatCode="_-* #,##0.0_р_._-;\-* #,##0.0_р_._-;_-* &quot;-&quot;??_р_._-;_-@_-"/>
    <numFmt numFmtId="168" formatCode="0.000"/>
    <numFmt numFmtId="169" formatCode="_-* #,##0.000_р_._-;\-* #,##0.000_р_._-;_-* &quot;-&quot;??_р_._-;_-@_-"/>
    <numFmt numFmtId="170" formatCode="_-* #,##0.000\ _₽_-;\-* #,##0.000\ _₽_-;_-* &quot;-&quot;??\ _₽_-;_-@_-"/>
    <numFmt numFmtId="171" formatCode="#,##0.0"/>
    <numFmt numFmtId="172" formatCode="_-* #,##0\ _₽_-;\-* #,##0\ _₽_-;_-* &quot;-&quot;??\ _₽_-;_-@_-"/>
  </numFmts>
  <fonts count="3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20"/>
      <color rgb="FFFF0000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sz val="18"/>
      <color theme="1"/>
      <name val="Cambria"/>
      <family val="1"/>
      <charset val="204"/>
      <scheme val="major"/>
    </font>
    <font>
      <sz val="72"/>
      <color theme="1"/>
      <name val="Cambria"/>
      <family val="1"/>
      <charset val="204"/>
      <scheme val="major"/>
    </font>
    <font>
      <b/>
      <sz val="18"/>
      <color theme="1"/>
      <name val="Cambria"/>
      <family val="1"/>
      <charset val="204"/>
      <scheme val="major"/>
    </font>
    <font>
      <b/>
      <sz val="18"/>
      <color rgb="FFFF0000"/>
      <name val="Cambria"/>
      <family val="1"/>
      <charset val="204"/>
      <scheme val="major"/>
    </font>
    <font>
      <sz val="20"/>
      <color theme="1"/>
      <name val="Cambria"/>
      <family val="1"/>
      <charset val="204"/>
      <scheme val="major"/>
    </font>
    <font>
      <b/>
      <sz val="24"/>
      <color theme="1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sz val="26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sz val="22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b/>
      <i/>
      <u/>
      <sz val="16"/>
      <color theme="1"/>
      <name val="Cambria"/>
      <family val="1"/>
      <charset val="204"/>
      <scheme val="major"/>
    </font>
    <font>
      <b/>
      <i/>
      <sz val="16"/>
      <color theme="1"/>
      <name val="Cambria"/>
      <family val="1"/>
      <charset val="204"/>
      <scheme val="major"/>
    </font>
    <font>
      <sz val="24"/>
      <color theme="1"/>
      <name val="Cambria"/>
      <family val="1"/>
      <charset val="204"/>
      <scheme val="maj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6"/>
      <color theme="1"/>
      <name val="Cambria"/>
      <family val="1"/>
      <charset val="204"/>
      <scheme val="major"/>
    </font>
    <font>
      <sz val="11"/>
      <color theme="0"/>
      <name val="Cambria"/>
      <family val="1"/>
      <charset val="204"/>
      <scheme val="major"/>
    </font>
    <font>
      <b/>
      <sz val="16"/>
      <color theme="0"/>
      <name val="Cambria"/>
      <family val="1"/>
      <charset val="204"/>
      <scheme val="major"/>
    </font>
    <font>
      <sz val="16"/>
      <color theme="0"/>
      <name val="Cambria"/>
      <family val="1"/>
      <charset val="204"/>
      <scheme val="major"/>
    </font>
    <font>
      <b/>
      <i/>
      <sz val="16"/>
      <color theme="0"/>
      <name val="Cambria"/>
      <family val="1"/>
      <charset val="204"/>
      <scheme val="major"/>
    </font>
    <font>
      <sz val="16"/>
      <name val="Cambria"/>
      <family val="1"/>
      <charset val="204"/>
      <scheme val="major"/>
    </font>
    <font>
      <b/>
      <sz val="18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6"/>
      <name val="Cambria"/>
      <family val="1"/>
      <charset val="204"/>
      <scheme val="maj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DF8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431">
    <xf numFmtId="0" fontId="0" fillId="0" borderId="0" xfId="0"/>
    <xf numFmtId="166" fontId="2" fillId="4" borderId="1" xfId="1" applyNumberFormat="1" applyFont="1" applyFill="1" applyBorder="1" applyAlignment="1">
      <alignment horizontal="center" vertical="center"/>
    </xf>
    <xf numFmtId="166" fontId="2" fillId="4" borderId="8" xfId="1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43" fontId="2" fillId="4" borderId="1" xfId="1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166" fontId="9" fillId="4" borderId="8" xfId="1" applyNumberFormat="1" applyFont="1" applyFill="1" applyBorder="1" applyAlignment="1">
      <alignment horizontal="center"/>
    </xf>
    <xf numFmtId="0" fontId="9" fillId="11" borderId="2" xfId="0" applyFont="1" applyFill="1" applyBorder="1" applyAlignment="1">
      <alignment horizontal="center"/>
    </xf>
    <xf numFmtId="0" fontId="9" fillId="11" borderId="3" xfId="0" applyFont="1" applyFill="1" applyBorder="1" applyAlignment="1">
      <alignment horizontal="center"/>
    </xf>
    <xf numFmtId="0" fontId="9" fillId="11" borderId="7" xfId="0" applyFont="1" applyFill="1" applyBorder="1" applyAlignment="1">
      <alignment horizontal="center"/>
    </xf>
    <xf numFmtId="166" fontId="9" fillId="11" borderId="8" xfId="1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168" fontId="4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0" fontId="5" fillId="2" borderId="0" xfId="1" applyNumberFormat="1" applyFont="1" applyFill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2" fillId="2" borderId="0" xfId="0" applyNumberFormat="1" applyFont="1" applyFill="1" applyBorder="1" applyAlignment="1">
      <alignment horizontal="center" vertical="center"/>
    </xf>
    <xf numFmtId="166" fontId="2" fillId="2" borderId="0" xfId="1" applyNumberFormat="1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166" fontId="2" fillId="4" borderId="24" xfId="1" applyNumberFormat="1" applyFont="1" applyFill="1" applyBorder="1" applyAlignment="1">
      <alignment horizontal="center" vertical="center"/>
    </xf>
    <xf numFmtId="3" fontId="2" fillId="4" borderId="30" xfId="0" applyNumberFormat="1" applyFont="1" applyFill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/>
    </xf>
    <xf numFmtId="3" fontId="2" fillId="4" borderId="34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 vertical="center"/>
    </xf>
    <xf numFmtId="43" fontId="2" fillId="4" borderId="8" xfId="1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5" fillId="14" borderId="0" xfId="0" applyFont="1" applyFill="1" applyAlignment="1">
      <alignment horizontal="center"/>
    </xf>
    <xf numFmtId="0" fontId="11" fillId="0" borderId="21" xfId="0" applyFont="1" applyBorder="1" applyAlignment="1">
      <alignment horizontal="center" vertical="center" wrapText="1"/>
    </xf>
    <xf numFmtId="1" fontId="2" fillId="2" borderId="0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166" fontId="2" fillId="2" borderId="0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/>
    </xf>
    <xf numFmtId="169" fontId="2" fillId="2" borderId="0" xfId="1" applyNumberFormat="1" applyFont="1" applyFill="1" applyBorder="1" applyAlignment="1">
      <alignment horizontal="center" vertical="center"/>
    </xf>
    <xf numFmtId="166" fontId="9" fillId="2" borderId="0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16" borderId="2" xfId="0" applyFont="1" applyFill="1" applyBorder="1" applyAlignment="1">
      <alignment horizontal="center"/>
    </xf>
    <xf numFmtId="0" fontId="9" fillId="16" borderId="7" xfId="0" applyFont="1" applyFill="1" applyBorder="1" applyAlignment="1">
      <alignment horizontal="center" vertical="center"/>
    </xf>
    <xf numFmtId="43" fontId="9" fillId="2" borderId="0" xfId="1" applyNumberFormat="1" applyFont="1" applyFill="1" applyBorder="1" applyAlignment="1">
      <alignment horizontal="center"/>
    </xf>
    <xf numFmtId="166" fontId="2" fillId="4" borderId="5" xfId="1" applyNumberFormat="1" applyFont="1" applyFill="1" applyBorder="1" applyAlignment="1">
      <alignment horizontal="center" vertical="center"/>
    </xf>
    <xf numFmtId="166" fontId="2" fillId="4" borderId="36" xfId="1" applyNumberFormat="1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166" fontId="2" fillId="4" borderId="0" xfId="1" applyNumberFormat="1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172" fontId="9" fillId="2" borderId="0" xfId="1" applyNumberFormat="1" applyFont="1" applyFill="1" applyBorder="1" applyAlignment="1">
      <alignment horizontal="center"/>
    </xf>
    <xf numFmtId="172" fontId="9" fillId="2" borderId="0" xfId="1" applyNumberFormat="1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169" fontId="17" fillId="0" borderId="0" xfId="0" applyNumberFormat="1" applyFont="1" applyAlignment="1">
      <alignment horizontal="center"/>
    </xf>
    <xf numFmtId="0" fontId="15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9" fillId="18" borderId="46" xfId="0" applyFont="1" applyFill="1" applyBorder="1" applyAlignment="1">
      <alignment horizontal="center"/>
    </xf>
    <xf numFmtId="0" fontId="9" fillId="18" borderId="47" xfId="0" applyFont="1" applyFill="1" applyBorder="1" applyAlignment="1">
      <alignment horizontal="center"/>
    </xf>
    <xf numFmtId="0" fontId="9" fillId="3" borderId="46" xfId="0" applyFont="1" applyFill="1" applyBorder="1" applyAlignment="1">
      <alignment horizontal="center"/>
    </xf>
    <xf numFmtId="0" fontId="9" fillId="3" borderId="47" xfId="0" applyFont="1" applyFill="1" applyBorder="1" applyAlignment="1">
      <alignment horizontal="center"/>
    </xf>
    <xf numFmtId="0" fontId="9" fillId="14" borderId="46" xfId="0" applyFont="1" applyFill="1" applyBorder="1" applyAlignment="1">
      <alignment horizontal="center"/>
    </xf>
    <xf numFmtId="0" fontId="9" fillId="14" borderId="47" xfId="0" applyFont="1" applyFill="1" applyBorder="1" applyAlignment="1">
      <alignment horizontal="center"/>
    </xf>
    <xf numFmtId="0" fontId="9" fillId="12" borderId="47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43" fontId="7" fillId="4" borderId="10" xfId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 vertical="center"/>
    </xf>
    <xf numFmtId="1" fontId="7" fillId="8" borderId="10" xfId="0" applyNumberFormat="1" applyFont="1" applyFill="1" applyBorder="1" applyAlignment="1">
      <alignment horizontal="center" vertical="center"/>
    </xf>
    <xf numFmtId="166" fontId="7" fillId="10" borderId="10" xfId="1" applyNumberFormat="1" applyFont="1" applyFill="1" applyBorder="1" applyAlignment="1">
      <alignment horizontal="center" vertical="center"/>
    </xf>
    <xf numFmtId="166" fontId="7" fillId="9" borderId="10" xfId="1" applyNumberFormat="1" applyFont="1" applyFill="1" applyBorder="1" applyAlignment="1">
      <alignment horizontal="center" vertical="center"/>
    </xf>
    <xf numFmtId="3" fontId="7" fillId="7" borderId="17" xfId="0" applyNumberFormat="1" applyFont="1" applyFill="1" applyBorder="1" applyAlignment="1">
      <alignment horizontal="center" vertical="center"/>
    </xf>
    <xf numFmtId="0" fontId="19" fillId="16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166" fontId="7" fillId="4" borderId="10" xfId="1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6" fontId="7" fillId="4" borderId="1" xfId="1" applyNumberFormat="1" applyFont="1" applyFill="1" applyBorder="1" applyAlignment="1">
      <alignment horizontal="center" vertical="center"/>
    </xf>
    <xf numFmtId="43" fontId="7" fillId="4" borderId="1" xfId="1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169" fontId="7" fillId="2" borderId="1" xfId="1" applyNumberFormat="1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166" fontId="7" fillId="13" borderId="1" xfId="1" applyNumberFormat="1" applyFont="1" applyFill="1" applyBorder="1" applyAlignment="1">
      <alignment horizontal="center" vertical="center"/>
    </xf>
    <xf numFmtId="43" fontId="7" fillId="13" borderId="1" xfId="1" applyFont="1" applyFill="1" applyBorder="1" applyAlignment="1">
      <alignment horizontal="center" vertical="center"/>
    </xf>
    <xf numFmtId="1" fontId="7" fillId="13" borderId="1" xfId="0" applyNumberFormat="1" applyFont="1" applyFill="1" applyBorder="1" applyAlignment="1">
      <alignment horizontal="center" vertical="center"/>
    </xf>
    <xf numFmtId="1" fontId="7" fillId="8" borderId="1" xfId="0" applyNumberFormat="1" applyFont="1" applyFill="1" applyBorder="1" applyAlignment="1">
      <alignment horizontal="center" vertical="center"/>
    </xf>
    <xf numFmtId="1" fontId="7" fillId="13" borderId="10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6" fontId="7" fillId="4" borderId="1" xfId="1" applyNumberFormat="1" applyFont="1" applyFill="1" applyBorder="1" applyAlignment="1">
      <alignment horizontal="center" vertical="center" wrapText="1"/>
    </xf>
    <xf numFmtId="1" fontId="7" fillId="16" borderId="1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1" fontId="7" fillId="8" borderId="1" xfId="0" applyNumberFormat="1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166" fontId="7" fillId="12" borderId="1" xfId="1" applyNumberFormat="1" applyFont="1" applyFill="1" applyBorder="1" applyAlignment="1">
      <alignment horizontal="center" vertical="center"/>
    </xf>
    <xf numFmtId="166" fontId="7" fillId="2" borderId="1" xfId="1" applyNumberFormat="1" applyFont="1" applyFill="1" applyBorder="1" applyAlignment="1">
      <alignment horizontal="center" vertical="center"/>
    </xf>
    <xf numFmtId="43" fontId="7" fillId="3" borderId="1" xfId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0" fontId="7" fillId="16" borderId="5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2" fontId="7" fillId="16" borderId="1" xfId="0" applyNumberFormat="1" applyFont="1" applyFill="1" applyBorder="1" applyAlignment="1">
      <alignment horizontal="center" vertical="center" wrapText="1"/>
    </xf>
    <xf numFmtId="166" fontId="7" fillId="16" borderId="1" xfId="0" applyNumberFormat="1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1" fontId="7" fillId="13" borderId="1" xfId="0" applyNumberFormat="1" applyFont="1" applyFill="1" applyBorder="1" applyAlignment="1">
      <alignment horizontal="center" vertical="center" wrapText="1"/>
    </xf>
    <xf numFmtId="2" fontId="7" fillId="13" borderId="1" xfId="0" applyNumberFormat="1" applyFont="1" applyFill="1" applyBorder="1" applyAlignment="1">
      <alignment horizontal="center" vertical="center" wrapText="1"/>
    </xf>
    <xf numFmtId="166" fontId="7" fillId="13" borderId="1" xfId="0" applyNumberFormat="1" applyFont="1" applyFill="1" applyBorder="1" applyAlignment="1">
      <alignment horizontal="center" vertical="center" wrapText="1"/>
    </xf>
    <xf numFmtId="169" fontId="7" fillId="2" borderId="0" xfId="1" applyNumberFormat="1" applyFont="1" applyFill="1" applyBorder="1" applyAlignment="1">
      <alignment horizontal="center" vertical="center"/>
    </xf>
    <xf numFmtId="1" fontId="7" fillId="14" borderId="1" xfId="0" applyNumberFormat="1" applyFont="1" applyFill="1" applyBorder="1" applyAlignment="1">
      <alignment horizontal="center" vertical="center" wrapText="1"/>
    </xf>
    <xf numFmtId="165" fontId="7" fillId="14" borderId="1" xfId="0" applyNumberFormat="1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2" fontId="7" fillId="14" borderId="1" xfId="0" applyNumberFormat="1" applyFont="1" applyFill="1" applyBorder="1" applyAlignment="1">
      <alignment horizontal="center" vertical="center" wrapText="1"/>
    </xf>
    <xf numFmtId="166" fontId="7" fillId="14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16" borderId="5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166" fontId="7" fillId="16" borderId="1" xfId="1" applyNumberFormat="1" applyFont="1" applyFill="1" applyBorder="1" applyAlignment="1">
      <alignment horizontal="center" vertical="center"/>
    </xf>
    <xf numFmtId="43" fontId="7" fillId="16" borderId="1" xfId="1" applyFont="1" applyFill="1" applyBorder="1" applyAlignment="1">
      <alignment horizontal="center" vertical="center"/>
    </xf>
    <xf numFmtId="1" fontId="7" fillId="16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3" fontId="7" fillId="13" borderId="5" xfId="0" applyNumberFormat="1" applyFont="1" applyFill="1" applyBorder="1" applyAlignment="1">
      <alignment horizontal="center" vertical="center"/>
    </xf>
    <xf numFmtId="3" fontId="7" fillId="13" borderId="1" xfId="0" applyNumberFormat="1" applyFont="1" applyFill="1" applyBorder="1" applyAlignment="1">
      <alignment horizontal="center" vertical="center"/>
    </xf>
    <xf numFmtId="167" fontId="7" fillId="13" borderId="1" xfId="1" applyNumberFormat="1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 wrapText="1"/>
    </xf>
    <xf numFmtId="166" fontId="7" fillId="17" borderId="1" xfId="1" applyNumberFormat="1" applyFont="1" applyFill="1" applyBorder="1" applyAlignment="1">
      <alignment horizontal="center" vertical="center" wrapText="1"/>
    </xf>
    <xf numFmtId="166" fontId="7" fillId="17" borderId="1" xfId="0" applyNumberFormat="1" applyFont="1" applyFill="1" applyBorder="1" applyAlignment="1">
      <alignment horizontal="center" vertical="center" wrapText="1"/>
    </xf>
    <xf numFmtId="0" fontId="19" fillId="16" borderId="5" xfId="0" applyFont="1" applyFill="1" applyBorder="1" applyAlignment="1">
      <alignment horizontal="center" vertical="center" wrapText="1"/>
    </xf>
    <xf numFmtId="165" fontId="7" fillId="16" borderId="1" xfId="0" applyNumberFormat="1" applyFont="1" applyFill="1" applyBorder="1" applyAlignment="1">
      <alignment horizontal="center" vertical="center"/>
    </xf>
    <xf numFmtId="165" fontId="7" fillId="16" borderId="5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165" fontId="7" fillId="8" borderId="1" xfId="0" applyNumberFormat="1" applyFont="1" applyFill="1" applyBorder="1" applyAlignment="1">
      <alignment horizontal="center" vertical="center" wrapText="1"/>
    </xf>
    <xf numFmtId="165" fontId="7" fillId="16" borderId="1" xfId="0" applyNumberFormat="1" applyFont="1" applyFill="1" applyBorder="1" applyAlignment="1">
      <alignment horizontal="center"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166" fontId="7" fillId="3" borderId="1" xfId="1" applyNumberFormat="1" applyFont="1" applyFill="1" applyBorder="1" applyAlignment="1">
      <alignment horizontal="center" vertical="center"/>
    </xf>
    <xf numFmtId="166" fontId="7" fillId="11" borderId="1" xfId="1" applyNumberFormat="1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165" fontId="7" fillId="8" borderId="8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19" fillId="15" borderId="5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165" fontId="7" fillId="15" borderId="1" xfId="0" applyNumberFormat="1" applyFont="1" applyFill="1" applyBorder="1" applyAlignment="1">
      <alignment horizontal="center" vertical="center"/>
    </xf>
    <xf numFmtId="166" fontId="7" fillId="15" borderId="1" xfId="1" applyNumberFormat="1" applyFont="1" applyFill="1" applyBorder="1" applyAlignment="1">
      <alignment horizontal="center" vertical="center"/>
    </xf>
    <xf numFmtId="43" fontId="7" fillId="15" borderId="1" xfId="1" applyFont="1" applyFill="1" applyBorder="1" applyAlignment="1">
      <alignment horizontal="center" vertical="center"/>
    </xf>
    <xf numFmtId="1" fontId="7" fillId="15" borderId="1" xfId="0" applyNumberFormat="1" applyFont="1" applyFill="1" applyBorder="1" applyAlignment="1">
      <alignment horizontal="center" vertical="center"/>
    </xf>
    <xf numFmtId="165" fontId="7" fillId="12" borderId="1" xfId="0" applyNumberFormat="1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167" fontId="7" fillId="11" borderId="1" xfId="1" applyNumberFormat="1" applyFont="1" applyFill="1" applyBorder="1" applyAlignment="1">
      <alignment horizontal="center" vertical="center"/>
    </xf>
    <xf numFmtId="166" fontId="7" fillId="11" borderId="1" xfId="1" applyNumberFormat="1" applyFont="1" applyFill="1" applyBorder="1" applyAlignment="1">
      <alignment horizontal="center" vertical="center"/>
    </xf>
    <xf numFmtId="1" fontId="7" fillId="11" borderId="1" xfId="0" applyNumberFormat="1" applyFont="1" applyFill="1" applyBorder="1" applyAlignment="1">
      <alignment horizontal="center" vertical="center"/>
    </xf>
    <xf numFmtId="43" fontId="7" fillId="11" borderId="1" xfId="1" applyFont="1" applyFill="1" applyBorder="1" applyAlignment="1">
      <alignment horizontal="center" vertical="center"/>
    </xf>
    <xf numFmtId="0" fontId="19" fillId="16" borderId="5" xfId="0" applyFont="1" applyFill="1" applyBorder="1" applyAlignment="1">
      <alignment horizontal="center" vertical="center"/>
    </xf>
    <xf numFmtId="167" fontId="7" fillId="16" borderId="1" xfId="1" applyNumberFormat="1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167" fontId="7" fillId="2" borderId="1" xfId="1" applyNumberFormat="1" applyFont="1" applyFill="1" applyBorder="1" applyAlignment="1">
      <alignment horizontal="center" vertical="center"/>
    </xf>
    <xf numFmtId="165" fontId="7" fillId="11" borderId="1" xfId="0" applyNumberFormat="1" applyFont="1" applyFill="1" applyBorder="1" applyAlignment="1">
      <alignment horizontal="center" vertical="center"/>
    </xf>
    <xf numFmtId="0" fontId="7" fillId="11" borderId="18" xfId="0" applyFont="1" applyFill="1" applyBorder="1" applyAlignment="1">
      <alignment horizontal="center" vertical="center"/>
    </xf>
    <xf numFmtId="0" fontId="7" fillId="11" borderId="16" xfId="0" applyFont="1" applyFill="1" applyBorder="1" applyAlignment="1">
      <alignment horizontal="center" vertical="center"/>
    </xf>
    <xf numFmtId="165" fontId="7" fillId="11" borderId="16" xfId="0" applyNumberFormat="1" applyFont="1" applyFill="1" applyBorder="1" applyAlignment="1">
      <alignment horizontal="center" vertical="center"/>
    </xf>
    <xf numFmtId="43" fontId="7" fillId="11" borderId="16" xfId="1" applyFont="1" applyFill="1" applyBorder="1" applyAlignment="1">
      <alignment horizontal="center" vertical="center"/>
    </xf>
    <xf numFmtId="1" fontId="7" fillId="11" borderId="16" xfId="0" applyNumberFormat="1" applyFont="1" applyFill="1" applyBorder="1" applyAlignment="1">
      <alignment horizontal="center" vertical="center"/>
    </xf>
    <xf numFmtId="1" fontId="7" fillId="8" borderId="16" xfId="0" applyNumberFormat="1" applyFont="1" applyFill="1" applyBorder="1" applyAlignment="1">
      <alignment horizontal="center" vertical="center"/>
    </xf>
    <xf numFmtId="166" fontId="7" fillId="4" borderId="26" xfId="1" applyNumberFormat="1" applyFont="1" applyFill="1" applyBorder="1" applyAlignment="1">
      <alignment horizontal="center" vertical="center"/>
    </xf>
    <xf numFmtId="166" fontId="7" fillId="3" borderId="5" xfId="1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167" fontId="7" fillId="3" borderId="1" xfId="1" applyNumberFormat="1" applyFont="1" applyFill="1" applyBorder="1" applyAlignment="1">
      <alignment horizontal="center" vertical="center"/>
    </xf>
    <xf numFmtId="171" fontId="7" fillId="3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6" fontId="7" fillId="10" borderId="1" xfId="1" applyNumberFormat="1" applyFont="1" applyFill="1" applyBorder="1" applyAlignment="1">
      <alignment horizontal="center" vertical="center" wrapText="1"/>
    </xf>
    <xf numFmtId="166" fontId="7" fillId="9" borderId="1" xfId="1" applyNumberFormat="1" applyFont="1" applyFill="1" applyBorder="1" applyAlignment="1">
      <alignment horizontal="center" vertical="center" wrapText="1"/>
    </xf>
    <xf numFmtId="165" fontId="7" fillId="13" borderId="1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1" fontId="7" fillId="11" borderId="1" xfId="0" applyNumberFormat="1" applyFont="1" applyFill="1" applyBorder="1" applyAlignment="1">
      <alignment horizontal="center" vertical="center" wrapText="1"/>
    </xf>
    <xf numFmtId="2" fontId="7" fillId="11" borderId="1" xfId="0" applyNumberFormat="1" applyFont="1" applyFill="1" applyBorder="1" applyAlignment="1">
      <alignment horizontal="center" vertical="center" wrapText="1"/>
    </xf>
    <xf numFmtId="166" fontId="7" fillId="11" borderId="1" xfId="0" applyNumberFormat="1" applyFont="1" applyFill="1" applyBorder="1" applyAlignment="1">
      <alignment horizontal="center" vertical="center" wrapText="1"/>
    </xf>
    <xf numFmtId="165" fontId="7" fillId="11" borderId="1" xfId="0" applyNumberFormat="1" applyFont="1" applyFill="1" applyBorder="1" applyAlignment="1">
      <alignment horizontal="center" vertical="center" wrapText="1"/>
    </xf>
    <xf numFmtId="166" fontId="7" fillId="7" borderId="6" xfId="1" applyNumberFormat="1" applyFont="1" applyFill="1" applyBorder="1" applyAlignment="1">
      <alignment horizontal="center" vertical="center" wrapText="1"/>
    </xf>
    <xf numFmtId="1" fontId="7" fillId="14" borderId="5" xfId="0" applyNumberFormat="1" applyFont="1" applyFill="1" applyBorder="1" applyAlignment="1">
      <alignment horizontal="center" vertical="center" wrapText="1"/>
    </xf>
    <xf numFmtId="2" fontId="7" fillId="11" borderId="8" xfId="0" applyNumberFormat="1" applyFont="1" applyFill="1" applyBorder="1" applyAlignment="1">
      <alignment horizontal="center" vertical="center" wrapText="1"/>
    </xf>
    <xf numFmtId="1" fontId="7" fillId="11" borderId="8" xfId="0" applyNumberFormat="1" applyFont="1" applyFill="1" applyBorder="1" applyAlignment="1">
      <alignment horizontal="center" vertical="center" wrapText="1"/>
    </xf>
    <xf numFmtId="166" fontId="7" fillId="11" borderId="8" xfId="0" applyNumberFormat="1" applyFont="1" applyFill="1" applyBorder="1" applyAlignment="1">
      <alignment horizontal="center" vertical="center" wrapText="1"/>
    </xf>
    <xf numFmtId="166" fontId="7" fillId="7" borderId="9" xfId="1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166" fontId="9" fillId="4" borderId="8" xfId="1" applyNumberFormat="1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horizontal="center" vertical="center"/>
    </xf>
    <xf numFmtId="166" fontId="9" fillId="11" borderId="8" xfId="1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9" fillId="4" borderId="4" xfId="0" applyFont="1" applyFill="1" applyBorder="1" applyAlignment="1">
      <alignment horizontal="center" vertical="center"/>
    </xf>
    <xf numFmtId="166" fontId="9" fillId="4" borderId="9" xfId="1" applyNumberFormat="1" applyFont="1" applyFill="1" applyBorder="1" applyAlignment="1">
      <alignment horizontal="center" vertical="center"/>
    </xf>
    <xf numFmtId="166" fontId="9" fillId="11" borderId="9" xfId="1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69" fontId="2" fillId="4" borderId="1" xfId="1" applyNumberFormat="1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169" fontId="2" fillId="4" borderId="8" xfId="1" applyNumberFormat="1" applyFont="1" applyFill="1" applyBorder="1" applyAlignment="1">
      <alignment horizontal="center" vertical="center"/>
    </xf>
    <xf numFmtId="166" fontId="7" fillId="20" borderId="1" xfId="1" applyNumberFormat="1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69" fontId="7" fillId="2" borderId="10" xfId="1" applyNumberFormat="1" applyFont="1" applyFill="1" applyBorder="1" applyAlignment="1">
      <alignment horizontal="center" vertical="center"/>
    </xf>
    <xf numFmtId="166" fontId="7" fillId="2" borderId="26" xfId="1" applyNumberFormat="1" applyFont="1" applyFill="1" applyBorder="1" applyAlignment="1">
      <alignment horizontal="center" vertical="center"/>
    </xf>
    <xf numFmtId="169" fontId="7" fillId="2" borderId="16" xfId="1" applyNumberFormat="1" applyFont="1" applyFill="1" applyBorder="1" applyAlignment="1">
      <alignment horizontal="center" vertical="center"/>
    </xf>
    <xf numFmtId="169" fontId="7" fillId="2" borderId="26" xfId="1" applyNumberFormat="1" applyFont="1" applyFill="1" applyBorder="1" applyAlignment="1">
      <alignment horizontal="center" vertical="center"/>
    </xf>
    <xf numFmtId="1" fontId="7" fillId="20" borderId="10" xfId="0" applyNumberFormat="1" applyFont="1" applyFill="1" applyBorder="1" applyAlignment="1">
      <alignment horizontal="center" vertical="center"/>
    </xf>
    <xf numFmtId="1" fontId="7" fillId="20" borderId="1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" fontId="7" fillId="7" borderId="17" xfId="0" applyNumberFormat="1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/>
    </xf>
    <xf numFmtId="0" fontId="9" fillId="4" borderId="50" xfId="0" applyFont="1" applyFill="1" applyBorder="1" applyAlignment="1">
      <alignment horizontal="center"/>
    </xf>
    <xf numFmtId="0" fontId="7" fillId="17" borderId="5" xfId="0" applyFont="1" applyFill="1" applyBorder="1" applyAlignment="1">
      <alignment horizontal="center" vertical="center" wrapText="1"/>
    </xf>
    <xf numFmtId="165" fontId="7" fillId="17" borderId="1" xfId="0" applyNumberFormat="1" applyFont="1" applyFill="1" applyBorder="1" applyAlignment="1">
      <alignment horizontal="center" vertical="center" wrapText="1"/>
    </xf>
    <xf numFmtId="2" fontId="7" fillId="17" borderId="1" xfId="0" applyNumberFormat="1" applyFont="1" applyFill="1" applyBorder="1" applyAlignment="1">
      <alignment horizontal="center" vertical="center" wrapText="1"/>
    </xf>
    <xf numFmtId="1" fontId="7" fillId="17" borderId="16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indent="1"/>
    </xf>
    <xf numFmtId="0" fontId="19" fillId="6" borderId="15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9" fillId="6" borderId="43" xfId="0" applyFont="1" applyFill="1" applyBorder="1" applyAlignment="1">
      <alignment horizontal="center" vertical="center" wrapText="1"/>
    </xf>
    <xf numFmtId="0" fontId="19" fillId="6" borderId="48" xfId="0" applyFont="1" applyFill="1" applyBorder="1" applyAlignment="1">
      <alignment horizontal="center" vertical="center" wrapText="1"/>
    </xf>
    <xf numFmtId="169" fontId="7" fillId="2" borderId="1" xfId="1" applyNumberFormat="1" applyFont="1" applyFill="1" applyBorder="1" applyAlignment="1">
      <alignment horizontal="center" vertical="center" wrapText="1"/>
    </xf>
    <xf numFmtId="169" fontId="7" fillId="2" borderId="8" xfId="1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169" fontId="19" fillId="2" borderId="1" xfId="1" applyNumberFormat="1" applyFont="1" applyFill="1" applyBorder="1" applyAlignment="1">
      <alignment horizontal="center" vertical="center" wrapText="1"/>
    </xf>
    <xf numFmtId="168" fontId="7" fillId="2" borderId="1" xfId="1" applyNumberFormat="1" applyFont="1" applyFill="1" applyBorder="1" applyAlignment="1">
      <alignment horizontal="center" vertical="center"/>
    </xf>
    <xf numFmtId="169" fontId="7" fillId="2" borderId="1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164" fontId="19" fillId="2" borderId="0" xfId="2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166" fontId="19" fillId="2" borderId="0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Border="1" applyAlignment="1">
      <alignment horizontal="center" vertical="center"/>
    </xf>
    <xf numFmtId="169" fontId="19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3" fillId="0" borderId="0" xfId="3"/>
    <xf numFmtId="0" fontId="19" fillId="2" borderId="1" xfId="3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0" fontId="19" fillId="6" borderId="1" xfId="3" applyFont="1" applyFill="1" applyBorder="1" applyAlignment="1">
      <alignment horizontal="center" vertical="center" wrapText="1"/>
    </xf>
    <xf numFmtId="166" fontId="7" fillId="10" borderId="1" xfId="4" applyNumberFormat="1" applyFont="1" applyFill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169" fontId="19" fillId="4" borderId="1" xfId="3" applyNumberFormat="1" applyFont="1" applyFill="1" applyBorder="1" applyAlignment="1">
      <alignment horizontal="center" vertical="center" wrapText="1"/>
    </xf>
    <xf numFmtId="166" fontId="7" fillId="9" borderId="1" xfId="4" applyNumberFormat="1" applyFont="1" applyFill="1" applyBorder="1" applyAlignment="1">
      <alignment horizontal="center" vertical="center"/>
    </xf>
    <xf numFmtId="0" fontId="24" fillId="17" borderId="46" xfId="3" applyFont="1" applyFill="1" applyBorder="1" applyAlignment="1">
      <alignment horizontal="center"/>
    </xf>
    <xf numFmtId="0" fontId="24" fillId="17" borderId="47" xfId="3" applyFont="1" applyFill="1" applyBorder="1" applyAlignment="1">
      <alignment horizontal="center"/>
    </xf>
    <xf numFmtId="0" fontId="7" fillId="14" borderId="1" xfId="3" applyFont="1" applyFill="1" applyBorder="1" applyAlignment="1">
      <alignment horizontal="center" vertical="center"/>
    </xf>
    <xf numFmtId="0" fontId="7" fillId="9" borderId="1" xfId="3" applyFont="1" applyFill="1" applyBorder="1" applyAlignment="1">
      <alignment horizontal="center" vertical="center"/>
    </xf>
    <xf numFmtId="0" fontId="9" fillId="9" borderId="1" xfId="3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16" borderId="15" xfId="0" applyFont="1" applyFill="1" applyBorder="1" applyAlignment="1">
      <alignment horizontal="center" vertical="center"/>
    </xf>
    <xf numFmtId="0" fontId="7" fillId="16" borderId="10" xfId="0" applyFont="1" applyFill="1" applyBorder="1" applyAlignment="1">
      <alignment horizontal="center" vertical="center"/>
    </xf>
    <xf numFmtId="166" fontId="7" fillId="16" borderId="10" xfId="1" applyNumberFormat="1" applyFont="1" applyFill="1" applyBorder="1" applyAlignment="1">
      <alignment horizontal="center" vertical="center"/>
    </xf>
    <xf numFmtId="43" fontId="7" fillId="16" borderId="10" xfId="1" applyFont="1" applyFill="1" applyBorder="1" applyAlignment="1">
      <alignment horizontal="center" vertical="center"/>
    </xf>
    <xf numFmtId="1" fontId="7" fillId="16" borderId="10" xfId="0" applyNumberFormat="1" applyFont="1" applyFill="1" applyBorder="1" applyAlignment="1">
      <alignment horizontal="center" vertical="center"/>
    </xf>
    <xf numFmtId="3" fontId="7" fillId="16" borderId="1" xfId="0" applyNumberFormat="1" applyFont="1" applyFill="1" applyBorder="1" applyAlignment="1">
      <alignment horizontal="center" vertical="center"/>
    </xf>
    <xf numFmtId="171" fontId="7" fillId="16" borderId="1" xfId="0" applyNumberFormat="1" applyFont="1" applyFill="1" applyBorder="1" applyAlignment="1">
      <alignment horizontal="center" vertical="center"/>
    </xf>
    <xf numFmtId="166" fontId="7" fillId="16" borderId="1" xfId="1" applyNumberFormat="1" applyFont="1" applyFill="1" applyBorder="1" applyAlignment="1">
      <alignment horizontal="center" vertical="center" wrapText="1"/>
    </xf>
    <xf numFmtId="0" fontId="7" fillId="16" borderId="10" xfId="0" applyFont="1" applyFill="1" applyBorder="1" applyAlignment="1">
      <alignment horizontal="center" vertical="center" wrapText="1"/>
    </xf>
    <xf numFmtId="0" fontId="19" fillId="13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/>
    </xf>
    <xf numFmtId="166" fontId="7" fillId="3" borderId="1" xfId="4" applyNumberFormat="1" applyFont="1" applyFill="1" applyBorder="1" applyAlignment="1">
      <alignment horizontal="center" vertical="center"/>
    </xf>
    <xf numFmtId="166" fontId="7" fillId="4" borderId="1" xfId="4" applyNumberFormat="1" applyFont="1" applyFill="1" applyBorder="1" applyAlignment="1">
      <alignment horizontal="center" vertical="center"/>
    </xf>
    <xf numFmtId="166" fontId="7" fillId="14" borderId="1" xfId="4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25" fillId="3" borderId="1" xfId="3" applyFont="1" applyFill="1" applyBorder="1" applyAlignment="1">
      <alignment horizontal="center" vertical="center"/>
    </xf>
    <xf numFmtId="0" fontId="25" fillId="4" borderId="1" xfId="3" applyFont="1" applyFill="1" applyBorder="1" applyAlignment="1">
      <alignment horizontal="center" vertical="center"/>
    </xf>
    <xf numFmtId="0" fontId="23" fillId="0" borderId="0" xfId="3" applyAlignment="1">
      <alignment horizontal="center" vertical="center"/>
    </xf>
    <xf numFmtId="1" fontId="7" fillId="19" borderId="1" xfId="0" applyNumberFormat="1" applyFont="1" applyFill="1" applyBorder="1" applyAlignment="1">
      <alignment horizontal="center" vertical="center"/>
    </xf>
    <xf numFmtId="0" fontId="19" fillId="17" borderId="5" xfId="0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/>
    </xf>
    <xf numFmtId="165" fontId="7" fillId="17" borderId="1" xfId="0" applyNumberFormat="1" applyFont="1" applyFill="1" applyBorder="1" applyAlignment="1">
      <alignment horizontal="center" vertical="center"/>
    </xf>
    <xf numFmtId="166" fontId="7" fillId="17" borderId="1" xfId="1" applyNumberFormat="1" applyFont="1" applyFill="1" applyBorder="1" applyAlignment="1">
      <alignment horizontal="center" vertical="center"/>
    </xf>
    <xf numFmtId="43" fontId="7" fillId="17" borderId="1" xfId="1" applyFont="1" applyFill="1" applyBorder="1" applyAlignment="1">
      <alignment horizontal="center" vertical="center"/>
    </xf>
    <xf numFmtId="1" fontId="7" fillId="17" borderId="1" xfId="0" applyNumberFormat="1" applyFont="1" applyFill="1" applyBorder="1" applyAlignment="1">
      <alignment horizontal="center" vertical="center"/>
    </xf>
    <xf numFmtId="1" fontId="7" fillId="17" borderId="10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166" fontId="9" fillId="2" borderId="0" xfId="1" applyNumberFormat="1" applyFont="1" applyFill="1" applyBorder="1" applyAlignment="1">
      <alignment horizontal="center" vertical="center"/>
    </xf>
    <xf numFmtId="1" fontId="7" fillId="20" borderId="1" xfId="0" applyNumberFormat="1" applyFont="1" applyFill="1" applyBorder="1" applyAlignment="1">
      <alignment horizontal="center" vertical="center" wrapText="1"/>
    </xf>
    <xf numFmtId="1" fontId="7" fillId="20" borderId="8" xfId="0" applyNumberFormat="1" applyFont="1" applyFill="1" applyBorder="1" applyAlignment="1">
      <alignment horizontal="center" vertical="center" wrapText="1"/>
    </xf>
    <xf numFmtId="166" fontId="7" fillId="20" borderId="10" xfId="1" applyNumberFormat="1" applyFont="1" applyFill="1" applyBorder="1" applyAlignment="1">
      <alignment horizontal="center" vertical="center"/>
    </xf>
    <xf numFmtId="166" fontId="7" fillId="20" borderId="1" xfId="0" applyNumberFormat="1" applyFont="1" applyFill="1" applyBorder="1" applyAlignment="1">
      <alignment horizontal="center" vertical="center" wrapText="1"/>
    </xf>
    <xf numFmtId="0" fontId="7" fillId="20" borderId="1" xfId="0" applyFont="1" applyFill="1" applyBorder="1" applyAlignment="1">
      <alignment horizontal="center" vertical="center" wrapText="1"/>
    </xf>
    <xf numFmtId="166" fontId="7" fillId="14" borderId="1" xfId="1" applyNumberFormat="1" applyFont="1" applyFill="1" applyBorder="1" applyAlignment="1">
      <alignment horizontal="center" vertical="center" wrapText="1"/>
    </xf>
    <xf numFmtId="43" fontId="7" fillId="13" borderId="1" xfId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169" fontId="7" fillId="20" borderId="10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170" fontId="9" fillId="2" borderId="0" xfId="1" applyNumberFormat="1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166" fontId="27" fillId="2" borderId="0" xfId="1" applyNumberFormat="1" applyFont="1" applyFill="1" applyBorder="1" applyAlignment="1">
      <alignment horizontal="center" vertical="center"/>
    </xf>
    <xf numFmtId="166" fontId="28" fillId="2" borderId="0" xfId="1" applyNumberFormat="1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/>
    </xf>
    <xf numFmtId="0" fontId="7" fillId="6" borderId="1" xfId="3" applyFont="1" applyFill="1" applyBorder="1" applyAlignment="1">
      <alignment horizontal="center" vertical="center" wrapText="1"/>
    </xf>
    <xf numFmtId="169" fontId="7" fillId="4" borderId="1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/>
    </xf>
    <xf numFmtId="166" fontId="7" fillId="7" borderId="1" xfId="4" applyNumberFormat="1" applyFont="1" applyFill="1" applyBorder="1" applyAlignment="1">
      <alignment horizontal="center" vertical="center"/>
    </xf>
    <xf numFmtId="0" fontId="25" fillId="21" borderId="1" xfId="3" applyFont="1" applyFill="1" applyBorder="1" applyAlignment="1">
      <alignment horizontal="center" vertical="center"/>
    </xf>
    <xf numFmtId="3" fontId="30" fillId="2" borderId="0" xfId="0" applyNumberFormat="1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2" fontId="17" fillId="4" borderId="1" xfId="0" applyNumberFormat="1" applyFont="1" applyFill="1" applyBorder="1" applyAlignment="1">
      <alignment horizontal="center" vertical="center"/>
    </xf>
    <xf numFmtId="166" fontId="17" fillId="4" borderId="1" xfId="0" applyNumberFormat="1" applyFont="1" applyFill="1" applyBorder="1" applyAlignment="1">
      <alignment horizontal="center" vertical="center"/>
    </xf>
    <xf numFmtId="165" fontId="17" fillId="4" borderId="1" xfId="0" applyNumberFormat="1" applyFont="1" applyFill="1" applyBorder="1" applyAlignment="1">
      <alignment horizontal="center" vertical="center"/>
    </xf>
    <xf numFmtId="1" fontId="17" fillId="4" borderId="1" xfId="0" applyNumberFormat="1" applyFont="1" applyFill="1" applyBorder="1" applyAlignment="1">
      <alignment horizontal="center" vertical="center"/>
    </xf>
    <xf numFmtId="169" fontId="17" fillId="4" borderId="1" xfId="1" applyNumberFormat="1" applyFont="1" applyFill="1" applyBorder="1" applyAlignment="1">
      <alignment horizontal="center" vertical="center"/>
    </xf>
    <xf numFmtId="166" fontId="17" fillId="4" borderId="1" xfId="1" applyNumberFormat="1" applyFont="1" applyFill="1" applyBorder="1" applyAlignment="1">
      <alignment horizontal="center" vertical="center"/>
    </xf>
    <xf numFmtId="166" fontId="17" fillId="4" borderId="6" xfId="1" applyNumberFormat="1" applyFont="1" applyFill="1" applyBorder="1" applyAlignment="1">
      <alignment horizontal="center" vertical="center"/>
    </xf>
    <xf numFmtId="2" fontId="17" fillId="19" borderId="1" xfId="0" applyNumberFormat="1" applyFont="1" applyFill="1" applyBorder="1" applyAlignment="1">
      <alignment horizontal="center" vertical="center"/>
    </xf>
    <xf numFmtId="166" fontId="17" fillId="19" borderId="1" xfId="0" applyNumberFormat="1" applyFont="1" applyFill="1" applyBorder="1" applyAlignment="1">
      <alignment horizontal="center" vertical="center"/>
    </xf>
    <xf numFmtId="165" fontId="17" fillId="19" borderId="1" xfId="0" applyNumberFormat="1" applyFont="1" applyFill="1" applyBorder="1" applyAlignment="1">
      <alignment horizontal="center" vertical="center"/>
    </xf>
    <xf numFmtId="1" fontId="17" fillId="19" borderId="1" xfId="0" applyNumberFormat="1" applyFont="1" applyFill="1" applyBorder="1" applyAlignment="1">
      <alignment horizontal="center" vertical="center"/>
    </xf>
    <xf numFmtId="169" fontId="17" fillId="19" borderId="1" xfId="1" applyNumberFormat="1" applyFont="1" applyFill="1" applyBorder="1" applyAlignment="1">
      <alignment horizontal="center" vertical="center"/>
    </xf>
    <xf numFmtId="166" fontId="17" fillId="19" borderId="1" xfId="1" applyNumberFormat="1" applyFont="1" applyFill="1" applyBorder="1" applyAlignment="1">
      <alignment horizontal="center" vertical="center"/>
    </xf>
    <xf numFmtId="166" fontId="17" fillId="19" borderId="6" xfId="1" applyNumberFormat="1" applyFont="1" applyFill="1" applyBorder="1" applyAlignment="1">
      <alignment horizontal="center" vertical="center"/>
    </xf>
    <xf numFmtId="2" fontId="17" fillId="19" borderId="8" xfId="0" applyNumberFormat="1" applyFont="1" applyFill="1" applyBorder="1" applyAlignment="1">
      <alignment horizontal="center" vertical="center"/>
    </xf>
    <xf numFmtId="166" fontId="17" fillId="19" borderId="8" xfId="0" applyNumberFormat="1" applyFont="1" applyFill="1" applyBorder="1" applyAlignment="1">
      <alignment horizontal="center" vertical="center"/>
    </xf>
    <xf numFmtId="165" fontId="17" fillId="19" borderId="8" xfId="0" applyNumberFormat="1" applyFont="1" applyFill="1" applyBorder="1" applyAlignment="1">
      <alignment horizontal="center" vertical="center"/>
    </xf>
    <xf numFmtId="169" fontId="17" fillId="19" borderId="8" xfId="1" applyNumberFormat="1" applyFont="1" applyFill="1" applyBorder="1" applyAlignment="1">
      <alignment horizontal="center" vertical="center"/>
    </xf>
    <xf numFmtId="166" fontId="17" fillId="19" borderId="8" xfId="1" applyNumberFormat="1" applyFont="1" applyFill="1" applyBorder="1" applyAlignment="1">
      <alignment horizontal="center" vertical="center"/>
    </xf>
    <xf numFmtId="166" fontId="17" fillId="19" borderId="9" xfId="1" applyNumberFormat="1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 wrapText="1"/>
    </xf>
    <xf numFmtId="166" fontId="33" fillId="2" borderId="0" xfId="1" applyNumberFormat="1" applyFont="1" applyFill="1" applyBorder="1" applyAlignment="1">
      <alignment horizontal="center" vertical="center"/>
    </xf>
    <xf numFmtId="166" fontId="30" fillId="2" borderId="0" xfId="1" applyNumberFormat="1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169" fontId="33" fillId="2" borderId="0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/>
    </xf>
    <xf numFmtId="1" fontId="17" fillId="4" borderId="5" xfId="0" applyNumberFormat="1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 wrapText="1"/>
    </xf>
    <xf numFmtId="1" fontId="17" fillId="4" borderId="7" xfId="0" applyNumberFormat="1" applyFont="1" applyFill="1" applyBorder="1" applyAlignment="1">
      <alignment horizontal="center" vertical="center"/>
    </xf>
    <xf numFmtId="1" fontId="17" fillId="4" borderId="8" xfId="0" applyNumberFormat="1" applyFont="1" applyFill="1" applyBorder="1" applyAlignment="1">
      <alignment horizontal="center" vertical="center"/>
    </xf>
    <xf numFmtId="1" fontId="17" fillId="19" borderId="8" xfId="0" applyNumberFormat="1" applyFont="1" applyFill="1" applyBorder="1" applyAlignment="1">
      <alignment horizontal="center" vertical="center"/>
    </xf>
    <xf numFmtId="0" fontId="19" fillId="2" borderId="1" xfId="3" applyFont="1" applyFill="1" applyBorder="1" applyAlignment="1">
      <alignment horizontal="center" vertical="center"/>
    </xf>
    <xf numFmtId="166" fontId="25" fillId="14" borderId="1" xfId="4" applyNumberFormat="1" applyFont="1" applyFill="1" applyBorder="1" applyAlignment="1">
      <alignment horizontal="center" vertical="center"/>
    </xf>
    <xf numFmtId="166" fontId="25" fillId="3" borderId="1" xfId="4" applyNumberFormat="1" applyFont="1" applyFill="1" applyBorder="1" applyAlignment="1">
      <alignment horizontal="center" vertical="center"/>
    </xf>
    <xf numFmtId="166" fontId="7" fillId="14" borderId="1" xfId="3" applyNumberFormat="1" applyFont="1" applyFill="1" applyBorder="1" applyAlignment="1">
      <alignment horizontal="center" vertical="center"/>
    </xf>
    <xf numFmtId="166" fontId="25" fillId="9" borderId="1" xfId="4" applyNumberFormat="1" applyFont="1" applyFill="1" applyBorder="1" applyAlignment="1">
      <alignment horizontal="center" vertical="center"/>
    </xf>
    <xf numFmtId="44" fontId="19" fillId="2" borderId="27" xfId="5" applyFont="1" applyFill="1" applyBorder="1" applyAlignment="1">
      <alignment horizontal="center" vertical="center"/>
    </xf>
    <xf numFmtId="44" fontId="19" fillId="2" borderId="28" xfId="5" applyFont="1" applyFill="1" applyBorder="1" applyAlignment="1">
      <alignment horizontal="center" vertical="center"/>
    </xf>
    <xf numFmtId="44" fontId="19" fillId="2" borderId="33" xfId="5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7" fillId="5" borderId="27" xfId="0" applyFont="1" applyFill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1" fontId="17" fillId="4" borderId="27" xfId="0" applyNumberFormat="1" applyFont="1" applyFill="1" applyBorder="1" applyAlignment="1">
      <alignment horizontal="center" vertical="center"/>
    </xf>
    <xf numFmtId="1" fontId="17" fillId="4" borderId="28" xfId="0" applyNumberFormat="1" applyFont="1" applyFill="1" applyBorder="1" applyAlignment="1">
      <alignment horizontal="center" vertical="center"/>
    </xf>
    <xf numFmtId="1" fontId="17" fillId="4" borderId="43" xfId="0" applyNumberFormat="1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164" fontId="19" fillId="2" borderId="0" xfId="2" applyFont="1" applyFill="1" applyBorder="1" applyAlignment="1">
      <alignment horizontal="center" vertical="center"/>
    </xf>
    <xf numFmtId="166" fontId="7" fillId="4" borderId="19" xfId="1" applyNumberFormat="1" applyFont="1" applyFill="1" applyBorder="1" applyAlignment="1">
      <alignment horizontal="center" vertical="center"/>
    </xf>
    <xf numFmtId="166" fontId="7" fillId="4" borderId="11" xfId="1" applyNumberFormat="1" applyFont="1" applyFill="1" applyBorder="1" applyAlignment="1">
      <alignment horizontal="center" vertical="center"/>
    </xf>
    <xf numFmtId="166" fontId="7" fillId="4" borderId="25" xfId="1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8" fillId="0" borderId="1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</cellXfs>
  <cellStyles count="6">
    <cellStyle name="Денежный" xfId="2" builtinId="4"/>
    <cellStyle name="Денежный 2" xfId="5"/>
    <cellStyle name="Обычный" xfId="0" builtinId="0"/>
    <cellStyle name="Обычный 2" xfId="3"/>
    <cellStyle name="Финансовый" xfId="1" builtinId="3"/>
    <cellStyle name="Финансовый 2" xfId="4"/>
  </cellStyles>
  <dxfs count="0"/>
  <tableStyles count="0" defaultTableStyle="TableStyleMedium9" defaultPivotStyle="PivotStyleLight16"/>
  <colors>
    <mruColors>
      <color rgb="FF6DF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263223</xdr:colOff>
      <xdr:row>16</xdr:row>
      <xdr:rowOff>450273</xdr:rowOff>
    </xdr:from>
    <xdr:to>
      <xdr:col>16</xdr:col>
      <xdr:colOff>712212</xdr:colOff>
      <xdr:row>16</xdr:row>
      <xdr:rowOff>898380</xdr:rowOff>
    </xdr:to>
    <xdr:sp macro="" textlink="">
      <xdr:nvSpPr>
        <xdr:cNvPr id="2" name="Овал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4783268" y="3602182"/>
          <a:ext cx="448989" cy="448107"/>
        </a:xfrm>
        <a:prstGeom prst="ellipse">
          <a:avLst/>
        </a:prstGeom>
        <a:solidFill>
          <a:schemeClr val="tx1">
            <a:alpha val="0"/>
          </a:schemeClr>
        </a:solidFill>
        <a:ln>
          <a:solidFill>
            <a:schemeClr val="tx1"/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16</xdr:col>
      <xdr:colOff>299920</xdr:colOff>
      <xdr:row>16</xdr:row>
      <xdr:rowOff>515897</xdr:rowOff>
    </xdr:from>
    <xdr:to>
      <xdr:col>16</xdr:col>
      <xdr:colOff>646459</xdr:colOff>
      <xdr:row>16</xdr:row>
      <xdr:rowOff>916331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CxnSpPr>
          <a:stCxn id="2" idx="7"/>
        </xdr:cNvCxnSpPr>
      </xdr:nvCxnSpPr>
      <xdr:spPr>
        <a:xfrm flipH="1">
          <a:off x="4819965" y="3667806"/>
          <a:ext cx="346539" cy="400434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20</xdr:col>
      <xdr:colOff>1623578</xdr:colOff>
      <xdr:row>5</xdr:row>
      <xdr:rowOff>122175</xdr:rowOff>
    </xdr:from>
    <xdr:to>
      <xdr:col>33</xdr:col>
      <xdr:colOff>327939</xdr:colOff>
      <xdr:row>13</xdr:row>
      <xdr:rowOff>95251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703260" y="1005402"/>
          <a:ext cx="6458575" cy="1375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ownloads/Telegram%20Desktop/&#1050;&#1086;&#1087;&#1080;&#1103;%20&#1055;&#1088;&#1072;&#1081;&#1089;%20&#1051;&#1080;&#1089;&#1090;%20&#1062;&#1077;&#1085;&#1072;%20&#1089;&#1077;&#1073;&#1077;&#1089;&#1090;&#1086;&#1080;&#1084;&#1086;&#1089;&#1090;&#1100;%20%20&#1046;&#1072;&#1089;&#1091;&#1088;%20&#1080;&#1089;&#1087;&#1088;&#1072;&#1074;&#1080;&#1083;%20&#1086;&#1096;&#1080;&#1073;&#1082;&#108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таток 10.06.2016 г. трубы"/>
      <sheetName val="Прайс лист"/>
      <sheetName val="Лист1"/>
      <sheetName val="Остаток 10.06.2016 г.Профил"/>
      <sheetName val="Предложение"/>
      <sheetName val="предложение Номер"/>
      <sheetName val="Лист2"/>
      <sheetName val="Лист3"/>
      <sheetName val="Лист4"/>
    </sheetNames>
    <sheetDataSet>
      <sheetData sheetId="0"/>
      <sheetData sheetId="1">
        <row r="126">
          <cell r="F126">
            <v>59536.6</v>
          </cell>
        </row>
        <row r="127">
          <cell r="F127">
            <v>77575.399999999994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"/>
  <sheetViews>
    <sheetView tabSelected="1" zoomScale="70" zoomScaleNormal="70" workbookViewId="0">
      <selection activeCell="O9" sqref="O9"/>
    </sheetView>
  </sheetViews>
  <sheetFormatPr defaultRowHeight="15"/>
  <cols>
    <col min="1" max="1" width="56.5703125" style="285" customWidth="1"/>
    <col min="2" max="2" width="14.42578125" style="285" bestFit="1" customWidth="1"/>
    <col min="3" max="3" width="14.42578125" style="285" hidden="1" customWidth="1"/>
    <col min="4" max="4" width="30.5703125" style="285" hidden="1" customWidth="1"/>
    <col min="5" max="5" width="19.28515625" style="285" hidden="1" customWidth="1"/>
    <col min="6" max="6" width="23.28515625" style="285" hidden="1" customWidth="1"/>
    <col min="7" max="7" width="17.7109375" style="285" hidden="1" customWidth="1"/>
    <col min="8" max="8" width="23.7109375" style="285" hidden="1" customWidth="1"/>
    <col min="9" max="9" width="15.7109375" style="285" hidden="1" customWidth="1"/>
    <col min="10" max="10" width="16" style="285" hidden="1" customWidth="1"/>
    <col min="11" max="11" width="9.140625" style="285"/>
    <col min="12" max="12" width="6.7109375" style="285" customWidth="1"/>
    <col min="13" max="13" width="10.7109375" style="285" bestFit="1" customWidth="1"/>
    <col min="14" max="14" width="6.42578125" style="285" customWidth="1"/>
    <col min="15" max="16384" width="9.140625" style="285"/>
  </cols>
  <sheetData>
    <row r="1" spans="1:13" ht="28.5">
      <c r="A1" s="394" t="s">
        <v>13</v>
      </c>
      <c r="B1" s="395"/>
      <c r="C1" s="395"/>
      <c r="D1" s="395"/>
      <c r="E1" s="395"/>
      <c r="F1" s="395"/>
      <c r="G1" s="395"/>
      <c r="H1" s="395"/>
      <c r="I1" s="395"/>
      <c r="J1" s="396"/>
      <c r="M1" s="293" t="s">
        <v>95</v>
      </c>
    </row>
    <row r="2" spans="1:13" ht="61.5" thickBot="1">
      <c r="A2" s="348" t="s">
        <v>14</v>
      </c>
      <c r="B2" s="348" t="s">
        <v>17</v>
      </c>
      <c r="C2" s="348" t="s">
        <v>96</v>
      </c>
      <c r="D2" s="348" t="s">
        <v>97</v>
      </c>
      <c r="E2" s="348" t="s">
        <v>149</v>
      </c>
      <c r="F2" s="348" t="s">
        <v>148</v>
      </c>
      <c r="G2" s="348" t="s">
        <v>41</v>
      </c>
      <c r="H2" s="348" t="s">
        <v>98</v>
      </c>
      <c r="I2" s="348" t="s">
        <v>99</v>
      </c>
      <c r="J2" s="348" t="s">
        <v>16</v>
      </c>
      <c r="M2" s="294">
        <v>8180</v>
      </c>
    </row>
    <row r="3" spans="1:13" ht="20.25">
      <c r="A3" s="317" t="s">
        <v>123</v>
      </c>
      <c r="B3" s="350">
        <v>1620</v>
      </c>
      <c r="C3" s="350">
        <v>710</v>
      </c>
      <c r="D3" s="312">
        <v>740</v>
      </c>
      <c r="E3" s="312">
        <f>D3*$M$2</f>
        <v>6053200</v>
      </c>
      <c r="F3" s="312">
        <f>E3/0.94</f>
        <v>6439574.4680851065</v>
      </c>
      <c r="G3" s="349">
        <f>D3/B3</f>
        <v>0.4567901234567901</v>
      </c>
      <c r="H3" s="289">
        <f>J3/0.89</f>
        <v>4198.3631571646556</v>
      </c>
      <c r="I3" s="292">
        <f>+J3/0.94</f>
        <v>3975.0459679537694</v>
      </c>
      <c r="J3" s="351">
        <f>G3*$M$2</f>
        <v>3736.5432098765432</v>
      </c>
    </row>
    <row r="4" spans="1:13" ht="20.25">
      <c r="A4" s="317" t="s">
        <v>140</v>
      </c>
      <c r="B4" s="350">
        <v>1126</v>
      </c>
      <c r="C4" s="350">
        <v>710</v>
      </c>
      <c r="D4" s="312">
        <v>740</v>
      </c>
      <c r="E4" s="312">
        <f t="shared" ref="E4:E21" si="0">D4*$M$2</f>
        <v>6053200</v>
      </c>
      <c r="F4" s="312">
        <f t="shared" ref="F4:F27" si="1">E4/0.94</f>
        <v>6439574.4680851065</v>
      </c>
      <c r="G4" s="349">
        <f t="shared" ref="G4:G21" si="2">D4/B4</f>
        <v>0.65719360568383656</v>
      </c>
      <c r="H4" s="289">
        <f t="shared" ref="H4:H27" si="3">J4/0.89</f>
        <v>6040.2738140379579</v>
      </c>
      <c r="I4" s="292">
        <f t="shared" ref="I4:I27" si="4">+J4/0.94</f>
        <v>5718.982653716791</v>
      </c>
      <c r="J4" s="351">
        <f t="shared" ref="J4:J21" si="5">G4*$M$2</f>
        <v>5375.843694493783</v>
      </c>
    </row>
    <row r="5" spans="1:13" ht="20.25">
      <c r="A5" s="352" t="s">
        <v>139</v>
      </c>
      <c r="B5" s="352">
        <v>1126</v>
      </c>
      <c r="C5" s="352">
        <v>740</v>
      </c>
      <c r="D5" s="352">
        <v>770</v>
      </c>
      <c r="E5" s="312">
        <f t="shared" ref="E5" si="6">D5*$M$2</f>
        <v>6298600</v>
      </c>
      <c r="F5" s="312">
        <f t="shared" si="1"/>
        <v>6700638.2978723412</v>
      </c>
      <c r="G5" s="349">
        <f t="shared" ref="G5" si="7">D5/B5</f>
        <v>0.68383658969804617</v>
      </c>
      <c r="H5" s="289">
        <f t="shared" si="3"/>
        <v>6285.1497794719298</v>
      </c>
      <c r="I5" s="292">
        <f t="shared" si="4"/>
        <v>5950.8333018404446</v>
      </c>
      <c r="J5" s="351">
        <f t="shared" ref="J5" si="8">G5*$M$2</f>
        <v>5593.7833037300179</v>
      </c>
    </row>
    <row r="6" spans="1:13" ht="20.25">
      <c r="A6" s="316" t="s">
        <v>124</v>
      </c>
      <c r="B6" s="311">
        <v>1126</v>
      </c>
      <c r="C6" s="311">
        <v>705</v>
      </c>
      <c r="D6" s="311">
        <v>735</v>
      </c>
      <c r="E6" s="312">
        <f t="shared" si="0"/>
        <v>6012300</v>
      </c>
      <c r="F6" s="312">
        <f t="shared" si="1"/>
        <v>6396063.8297872348</v>
      </c>
      <c r="G6" s="349">
        <f t="shared" si="2"/>
        <v>0.65275310834813494</v>
      </c>
      <c r="H6" s="289">
        <f t="shared" si="3"/>
        <v>5999.4611531322971</v>
      </c>
      <c r="I6" s="292">
        <f t="shared" si="4"/>
        <v>5680.3408790295152</v>
      </c>
      <c r="J6" s="351">
        <f t="shared" si="5"/>
        <v>5339.5204262877442</v>
      </c>
    </row>
    <row r="7" spans="1:13" ht="20.25">
      <c r="A7" s="317" t="s">
        <v>132</v>
      </c>
      <c r="B7" s="312">
        <v>826</v>
      </c>
      <c r="C7" s="312">
        <v>715</v>
      </c>
      <c r="D7" s="312">
        <v>745</v>
      </c>
      <c r="E7" s="312">
        <f t="shared" si="0"/>
        <v>6094100</v>
      </c>
      <c r="F7" s="312">
        <f t="shared" si="1"/>
        <v>6483085.1063829791</v>
      </c>
      <c r="G7" s="349">
        <f t="shared" si="2"/>
        <v>0.90193704600484259</v>
      </c>
      <c r="H7" s="289">
        <f t="shared" si="3"/>
        <v>8289.7135239546205</v>
      </c>
      <c r="I7" s="292">
        <f t="shared" si="4"/>
        <v>7848.771315233631</v>
      </c>
      <c r="J7" s="351">
        <f t="shared" si="5"/>
        <v>7377.8450363196125</v>
      </c>
    </row>
    <row r="8" spans="1:13" ht="20.25">
      <c r="A8" s="352" t="s">
        <v>143</v>
      </c>
      <c r="B8" s="352">
        <v>826</v>
      </c>
      <c r="C8" s="352">
        <v>740</v>
      </c>
      <c r="D8" s="352">
        <v>770</v>
      </c>
      <c r="E8" s="312">
        <f t="shared" ref="E8" si="9">D8*$M$2</f>
        <v>6298600</v>
      </c>
      <c r="F8" s="312">
        <f t="shared" si="1"/>
        <v>6700638.2978723412</v>
      </c>
      <c r="G8" s="349">
        <f t="shared" ref="G8" si="10">D8/B8</f>
        <v>0.93220338983050843</v>
      </c>
      <c r="H8" s="289">
        <f t="shared" si="3"/>
        <v>8567.8918301275953</v>
      </c>
      <c r="I8" s="292">
        <f t="shared" si="4"/>
        <v>8112.1529029931489</v>
      </c>
      <c r="J8" s="351">
        <f t="shared" ref="J8" si="11">G8*$M$2</f>
        <v>7625.4237288135591</v>
      </c>
    </row>
    <row r="9" spans="1:13" ht="20.25">
      <c r="A9" s="316" t="s">
        <v>125</v>
      </c>
      <c r="B9" s="311">
        <v>826</v>
      </c>
      <c r="C9" s="311">
        <v>705</v>
      </c>
      <c r="D9" s="311">
        <v>735</v>
      </c>
      <c r="E9" s="312">
        <f>D9*$M$2</f>
        <v>6012300</v>
      </c>
      <c r="F9" s="312">
        <f t="shared" si="1"/>
        <v>6396063.8297872348</v>
      </c>
      <c r="G9" s="349">
        <f>D9/B9</f>
        <v>0.88983050847457623</v>
      </c>
      <c r="H9" s="289">
        <f t="shared" si="3"/>
        <v>8178.4422014854308</v>
      </c>
      <c r="I9" s="292">
        <f t="shared" si="4"/>
        <v>7743.4186801298229</v>
      </c>
      <c r="J9" s="351">
        <f>G9*$M$2</f>
        <v>7278.8135593220331</v>
      </c>
    </row>
    <row r="10" spans="1:13" ht="20.25">
      <c r="A10" s="317" t="s">
        <v>133</v>
      </c>
      <c r="B10" s="312">
        <v>633</v>
      </c>
      <c r="C10" s="312">
        <v>720</v>
      </c>
      <c r="D10" s="312">
        <v>750</v>
      </c>
      <c r="E10" s="312">
        <f>D10*$M$2</f>
        <v>6135000</v>
      </c>
      <c r="F10" s="312">
        <f t="shared" si="1"/>
        <v>6526595.7446808517</v>
      </c>
      <c r="G10" s="349">
        <f>D10/B10</f>
        <v>1.1848341232227488</v>
      </c>
      <c r="H10" s="289">
        <f t="shared" si="3"/>
        <v>10889.823739283242</v>
      </c>
      <c r="I10" s="292">
        <f t="shared" si="4"/>
        <v>10310.577795704346</v>
      </c>
      <c r="J10" s="351">
        <f>G10*$M$2</f>
        <v>9691.9431279620858</v>
      </c>
    </row>
    <row r="11" spans="1:13" ht="20.25">
      <c r="A11" s="352" t="s">
        <v>142</v>
      </c>
      <c r="B11" s="352">
        <v>633</v>
      </c>
      <c r="C11" s="352">
        <v>740</v>
      </c>
      <c r="D11" s="352">
        <v>770</v>
      </c>
      <c r="E11" s="312">
        <f>D11*$M$2</f>
        <v>6298600</v>
      </c>
      <c r="F11" s="312">
        <f t="shared" si="1"/>
        <v>6700638.2978723412</v>
      </c>
      <c r="G11" s="349">
        <f>D11/B11</f>
        <v>1.2164296998420221</v>
      </c>
      <c r="H11" s="289">
        <f t="shared" si="3"/>
        <v>11180.219038997462</v>
      </c>
      <c r="I11" s="292">
        <f t="shared" si="4"/>
        <v>10585.526536923129</v>
      </c>
      <c r="J11" s="351">
        <f>G11*$M$2</f>
        <v>9950.3949447077412</v>
      </c>
    </row>
    <row r="12" spans="1:13" ht="20.25">
      <c r="A12" s="316" t="s">
        <v>130</v>
      </c>
      <c r="B12" s="311">
        <v>633</v>
      </c>
      <c r="C12" s="311">
        <v>705</v>
      </c>
      <c r="D12" s="311">
        <v>735</v>
      </c>
      <c r="E12" s="312">
        <f t="shared" si="0"/>
        <v>6012300</v>
      </c>
      <c r="F12" s="312">
        <f t="shared" si="1"/>
        <v>6396063.8297872348</v>
      </c>
      <c r="G12" s="349">
        <f t="shared" si="2"/>
        <v>1.1611374407582939</v>
      </c>
      <c r="H12" s="289">
        <f t="shared" si="3"/>
        <v>10672.027264497578</v>
      </c>
      <c r="I12" s="292">
        <f t="shared" si="4"/>
        <v>10104.366239790261</v>
      </c>
      <c r="J12" s="351">
        <f t="shared" si="5"/>
        <v>9498.1042654028442</v>
      </c>
    </row>
    <row r="13" spans="1:13" ht="20.25">
      <c r="A13" s="317" t="s">
        <v>134</v>
      </c>
      <c r="B13" s="312">
        <v>500</v>
      </c>
      <c r="C13" s="312">
        <v>720</v>
      </c>
      <c r="D13" s="312">
        <v>750</v>
      </c>
      <c r="E13" s="312">
        <f>D13*$M$2</f>
        <v>6135000</v>
      </c>
      <c r="F13" s="312">
        <f t="shared" si="1"/>
        <v>6526595.7446808517</v>
      </c>
      <c r="G13" s="349">
        <f>D13/B13</f>
        <v>1.5</v>
      </c>
      <c r="H13" s="289">
        <f t="shared" si="3"/>
        <v>13786.516853932584</v>
      </c>
      <c r="I13" s="292">
        <f t="shared" si="4"/>
        <v>13053.191489361703</v>
      </c>
      <c r="J13" s="351">
        <f>G13*$M$2</f>
        <v>12270</v>
      </c>
    </row>
    <row r="14" spans="1:13" ht="20.25">
      <c r="A14" s="352" t="s">
        <v>144</v>
      </c>
      <c r="B14" s="352">
        <v>500</v>
      </c>
      <c r="C14" s="352">
        <v>740</v>
      </c>
      <c r="D14" s="352">
        <v>770</v>
      </c>
      <c r="E14" s="312">
        <f>D14*$M$2</f>
        <v>6298600</v>
      </c>
      <c r="F14" s="312">
        <f t="shared" si="1"/>
        <v>6700638.2978723412</v>
      </c>
      <c r="G14" s="349">
        <f>D14/B14</f>
        <v>1.54</v>
      </c>
      <c r="H14" s="289">
        <f t="shared" si="3"/>
        <v>14154.157303370786</v>
      </c>
      <c r="I14" s="292">
        <f t="shared" si="4"/>
        <v>13401.276595744683</v>
      </c>
      <c r="J14" s="351">
        <f>G14*$M$2</f>
        <v>12597.2</v>
      </c>
    </row>
    <row r="15" spans="1:13" ht="20.25">
      <c r="A15" s="316" t="s">
        <v>131</v>
      </c>
      <c r="B15" s="311">
        <v>500</v>
      </c>
      <c r="C15" s="311">
        <v>705</v>
      </c>
      <c r="D15" s="311">
        <v>735</v>
      </c>
      <c r="E15" s="312">
        <f t="shared" si="0"/>
        <v>6012300</v>
      </c>
      <c r="F15" s="312">
        <f t="shared" si="1"/>
        <v>6396063.8297872348</v>
      </c>
      <c r="G15" s="349">
        <f t="shared" si="2"/>
        <v>1.47</v>
      </c>
      <c r="H15" s="289">
        <f t="shared" si="3"/>
        <v>13510.786516853932</v>
      </c>
      <c r="I15" s="292">
        <f t="shared" si="4"/>
        <v>12792.127659574469</v>
      </c>
      <c r="J15" s="351">
        <f t="shared" si="5"/>
        <v>12024.6</v>
      </c>
    </row>
    <row r="16" spans="1:13" ht="20.25">
      <c r="A16" s="317" t="s">
        <v>135</v>
      </c>
      <c r="B16" s="312">
        <v>405</v>
      </c>
      <c r="C16" s="312">
        <v>720</v>
      </c>
      <c r="D16" s="312">
        <v>750</v>
      </c>
      <c r="E16" s="312">
        <f t="shared" si="0"/>
        <v>6135000</v>
      </c>
      <c r="F16" s="312">
        <f t="shared" si="1"/>
        <v>6526595.7446808517</v>
      </c>
      <c r="G16" s="349">
        <f t="shared" si="2"/>
        <v>1.8518518518518519</v>
      </c>
      <c r="H16" s="289">
        <f t="shared" si="3"/>
        <v>17020.391177694546</v>
      </c>
      <c r="I16" s="292">
        <f t="shared" si="4"/>
        <v>16115.051221434202</v>
      </c>
      <c r="J16" s="351">
        <f t="shared" si="5"/>
        <v>15148.148148148148</v>
      </c>
    </row>
    <row r="17" spans="1:10" ht="20.25">
      <c r="A17" s="352" t="s">
        <v>145</v>
      </c>
      <c r="B17" s="352">
        <v>405</v>
      </c>
      <c r="C17" s="352">
        <v>740</v>
      </c>
      <c r="D17" s="352">
        <v>770</v>
      </c>
      <c r="E17" s="312">
        <f t="shared" ref="E17" si="12">D17*$M$2</f>
        <v>6298600</v>
      </c>
      <c r="F17" s="312">
        <f t="shared" si="1"/>
        <v>6700638.2978723412</v>
      </c>
      <c r="G17" s="349">
        <f t="shared" ref="G17" si="13">D17/B17</f>
        <v>1.9012345679012346</v>
      </c>
      <c r="H17" s="289">
        <f t="shared" si="3"/>
        <v>17474.268275766401</v>
      </c>
      <c r="I17" s="292">
        <f t="shared" si="4"/>
        <v>16544.785920672446</v>
      </c>
      <c r="J17" s="351">
        <f t="shared" ref="J17" si="14">G17*$M$2</f>
        <v>15552.098765432098</v>
      </c>
    </row>
    <row r="18" spans="1:10" ht="20.25">
      <c r="A18" s="316" t="s">
        <v>129</v>
      </c>
      <c r="B18" s="311">
        <v>405</v>
      </c>
      <c r="C18" s="311">
        <v>705</v>
      </c>
      <c r="D18" s="311">
        <v>735</v>
      </c>
      <c r="E18" s="312">
        <f t="shared" si="0"/>
        <v>6012300</v>
      </c>
      <c r="F18" s="312">
        <f t="shared" si="1"/>
        <v>6396063.8297872348</v>
      </c>
      <c r="G18" s="349">
        <f t="shared" si="2"/>
        <v>1.8148148148148149</v>
      </c>
      <c r="H18" s="289">
        <f t="shared" si="3"/>
        <v>16679.983354140659</v>
      </c>
      <c r="I18" s="292">
        <f t="shared" si="4"/>
        <v>15792.750197005518</v>
      </c>
      <c r="J18" s="351">
        <f t="shared" si="5"/>
        <v>14845.185185185186</v>
      </c>
    </row>
    <row r="19" spans="1:10" ht="20.25">
      <c r="A19" s="317" t="s">
        <v>136</v>
      </c>
      <c r="B19" s="312">
        <v>335</v>
      </c>
      <c r="C19" s="312">
        <v>720</v>
      </c>
      <c r="D19" s="312">
        <v>750</v>
      </c>
      <c r="E19" s="312">
        <f>D19*$M$2</f>
        <v>6135000</v>
      </c>
      <c r="F19" s="312">
        <f t="shared" si="1"/>
        <v>6526595.7446808517</v>
      </c>
      <c r="G19" s="349">
        <f>D19/B19</f>
        <v>2.2388059701492535</v>
      </c>
      <c r="H19" s="289">
        <f t="shared" si="3"/>
        <v>20576.890826765051</v>
      </c>
      <c r="I19" s="292">
        <f t="shared" si="4"/>
        <v>19482.375357256271</v>
      </c>
      <c r="J19" s="351">
        <f>G19*$M$2</f>
        <v>18313.432835820895</v>
      </c>
    </row>
    <row r="20" spans="1:10" ht="20.25">
      <c r="A20" s="352" t="s">
        <v>146</v>
      </c>
      <c r="B20" s="352">
        <v>335</v>
      </c>
      <c r="C20" s="352">
        <v>740</v>
      </c>
      <c r="D20" s="352">
        <v>770</v>
      </c>
      <c r="E20" s="312">
        <f>D20*$M$2</f>
        <v>6298600</v>
      </c>
      <c r="F20" s="312">
        <f t="shared" si="1"/>
        <v>6700638.2978723412</v>
      </c>
      <c r="G20" s="349">
        <f>D20/B20</f>
        <v>2.2985074626865671</v>
      </c>
      <c r="H20" s="289">
        <f t="shared" si="3"/>
        <v>21125.607915478788</v>
      </c>
      <c r="I20" s="292">
        <f t="shared" si="4"/>
        <v>20001.905366783107</v>
      </c>
      <c r="J20" s="351">
        <f>G20*$M$2</f>
        <v>18801.791044776121</v>
      </c>
    </row>
    <row r="21" spans="1:10" ht="20.25">
      <c r="A21" s="316" t="s">
        <v>128</v>
      </c>
      <c r="B21" s="311">
        <v>335</v>
      </c>
      <c r="C21" s="311">
        <v>705</v>
      </c>
      <c r="D21" s="311">
        <v>735</v>
      </c>
      <c r="E21" s="312">
        <f t="shared" si="0"/>
        <v>6012300</v>
      </c>
      <c r="F21" s="312">
        <f t="shared" si="1"/>
        <v>6396063.8297872348</v>
      </c>
      <c r="G21" s="349">
        <f t="shared" si="2"/>
        <v>2.1940298507462686</v>
      </c>
      <c r="H21" s="289">
        <f t="shared" si="3"/>
        <v>20165.353010229752</v>
      </c>
      <c r="I21" s="292">
        <f t="shared" si="4"/>
        <v>19092.727850111147</v>
      </c>
      <c r="J21" s="351">
        <f t="shared" si="5"/>
        <v>17947.164179104479</v>
      </c>
    </row>
    <row r="22" spans="1:10" ht="20.25">
      <c r="A22" s="317" t="s">
        <v>137</v>
      </c>
      <c r="B22" s="312">
        <v>259</v>
      </c>
      <c r="C22" s="312">
        <v>720</v>
      </c>
      <c r="D22" s="312">
        <v>750</v>
      </c>
      <c r="E22" s="312">
        <f t="shared" ref="E22:E27" si="15">D22*$M$2</f>
        <v>6135000</v>
      </c>
      <c r="F22" s="312">
        <f t="shared" si="1"/>
        <v>6526595.7446808517</v>
      </c>
      <c r="G22" s="349">
        <f t="shared" ref="G22:G27" si="16">D22/B22</f>
        <v>2.8957528957528957</v>
      </c>
      <c r="H22" s="289">
        <f t="shared" si="3"/>
        <v>26614.897401414255</v>
      </c>
      <c r="I22" s="292">
        <f t="shared" si="4"/>
        <v>25199.211369424138</v>
      </c>
      <c r="J22" s="351">
        <f t="shared" ref="J22:J27" si="17">G22*$M$2</f>
        <v>23687.258687258687</v>
      </c>
    </row>
    <row r="23" spans="1:10" ht="20.25">
      <c r="A23" s="352" t="s">
        <v>147</v>
      </c>
      <c r="B23" s="352">
        <v>259</v>
      </c>
      <c r="C23" s="352">
        <v>740</v>
      </c>
      <c r="D23" s="352">
        <v>770</v>
      </c>
      <c r="E23" s="312">
        <f t="shared" si="15"/>
        <v>6298600</v>
      </c>
      <c r="F23" s="312">
        <f t="shared" si="1"/>
        <v>6700638.2978723412</v>
      </c>
      <c r="G23" s="349">
        <f t="shared" si="16"/>
        <v>2.9729729729729728</v>
      </c>
      <c r="H23" s="289">
        <f t="shared" si="3"/>
        <v>27324.627998785298</v>
      </c>
      <c r="I23" s="292">
        <f t="shared" si="4"/>
        <v>25871.190339275443</v>
      </c>
      <c r="J23" s="351">
        <f t="shared" si="17"/>
        <v>24318.918918918916</v>
      </c>
    </row>
    <row r="24" spans="1:10" ht="20.25">
      <c r="A24" s="316" t="s">
        <v>127</v>
      </c>
      <c r="B24" s="311">
        <v>259</v>
      </c>
      <c r="C24" s="311">
        <v>705</v>
      </c>
      <c r="D24" s="311">
        <v>735</v>
      </c>
      <c r="E24" s="312">
        <f t="shared" si="15"/>
        <v>6012300</v>
      </c>
      <c r="F24" s="312">
        <f t="shared" si="1"/>
        <v>6396063.8297872348</v>
      </c>
      <c r="G24" s="349">
        <f t="shared" si="16"/>
        <v>2.8378378378378377</v>
      </c>
      <c r="H24" s="289">
        <f t="shared" si="3"/>
        <v>26082.59945338597</v>
      </c>
      <c r="I24" s="292">
        <f t="shared" si="4"/>
        <v>24695.227142035656</v>
      </c>
      <c r="J24" s="351">
        <f t="shared" si="17"/>
        <v>23213.513513513513</v>
      </c>
    </row>
    <row r="25" spans="1:10" ht="20.25">
      <c r="A25" s="317" t="s">
        <v>138</v>
      </c>
      <c r="B25" s="312">
        <v>207</v>
      </c>
      <c r="C25" s="312">
        <v>720</v>
      </c>
      <c r="D25" s="312">
        <v>750</v>
      </c>
      <c r="E25" s="312">
        <f t="shared" si="15"/>
        <v>6135000</v>
      </c>
      <c r="F25" s="312">
        <f t="shared" si="1"/>
        <v>6526595.7446808517</v>
      </c>
      <c r="G25" s="349">
        <f t="shared" si="16"/>
        <v>3.6231884057971016</v>
      </c>
      <c r="H25" s="289">
        <f t="shared" si="3"/>
        <v>33300.765347663248</v>
      </c>
      <c r="I25" s="292">
        <f t="shared" si="4"/>
        <v>31529.448041936481</v>
      </c>
      <c r="J25" s="351">
        <f t="shared" si="17"/>
        <v>29637.681159420292</v>
      </c>
    </row>
    <row r="26" spans="1:10" ht="20.25">
      <c r="A26" s="352" t="s">
        <v>141</v>
      </c>
      <c r="B26" s="352">
        <v>207</v>
      </c>
      <c r="C26" s="352">
        <v>740</v>
      </c>
      <c r="D26" s="352">
        <v>770</v>
      </c>
      <c r="E26" s="312">
        <f t="shared" si="15"/>
        <v>6298600</v>
      </c>
      <c r="F26" s="312">
        <f t="shared" si="1"/>
        <v>6700638.2978723412</v>
      </c>
      <c r="G26" s="349">
        <f t="shared" si="16"/>
        <v>3.7198067632850242</v>
      </c>
      <c r="H26" s="289">
        <f t="shared" si="3"/>
        <v>34188.785756934267</v>
      </c>
      <c r="I26" s="292">
        <f t="shared" si="4"/>
        <v>32370.233323054788</v>
      </c>
      <c r="J26" s="351">
        <f t="shared" si="17"/>
        <v>30428.019323671499</v>
      </c>
    </row>
    <row r="27" spans="1:10" ht="20.25">
      <c r="A27" s="316" t="s">
        <v>126</v>
      </c>
      <c r="B27" s="311">
        <v>207</v>
      </c>
      <c r="C27" s="311">
        <v>705</v>
      </c>
      <c r="D27" s="311">
        <v>735</v>
      </c>
      <c r="E27" s="312">
        <f t="shared" si="15"/>
        <v>6012300</v>
      </c>
      <c r="F27" s="312">
        <f t="shared" si="1"/>
        <v>6396063.8297872348</v>
      </c>
      <c r="G27" s="349">
        <f t="shared" si="16"/>
        <v>3.5507246376811592</v>
      </c>
      <c r="H27" s="289">
        <f t="shared" si="3"/>
        <v>32634.750040709983</v>
      </c>
      <c r="I27" s="292">
        <f t="shared" si="4"/>
        <v>30898.859081097751</v>
      </c>
      <c r="J27" s="351">
        <f t="shared" si="17"/>
        <v>29044.927536231884</v>
      </c>
    </row>
    <row r="30" spans="1:10" ht="15.75" thickBot="1">
      <c r="A30" s="290"/>
      <c r="B30" s="290"/>
      <c r="C30" s="290"/>
      <c r="D30" s="290"/>
      <c r="E30" s="290"/>
      <c r="F30" s="290"/>
      <c r="G30" s="290"/>
      <c r="H30" s="290"/>
      <c r="I30" s="290"/>
      <c r="J30" s="290"/>
    </row>
    <row r="31" spans="1:10" ht="20.25">
      <c r="A31" s="394" t="s">
        <v>100</v>
      </c>
      <c r="B31" s="395"/>
      <c r="C31" s="395"/>
      <c r="D31" s="395"/>
      <c r="E31" s="395"/>
      <c r="F31" s="395"/>
      <c r="G31" s="395"/>
      <c r="H31" s="395"/>
      <c r="I31" s="395"/>
      <c r="J31" s="396"/>
    </row>
    <row r="32" spans="1:10" ht="40.5">
      <c r="A32" s="389" t="s">
        <v>18</v>
      </c>
      <c r="B32" s="286" t="s">
        <v>17</v>
      </c>
      <c r="C32" s="286" t="s">
        <v>96</v>
      </c>
      <c r="D32" s="287" t="s">
        <v>101</v>
      </c>
      <c r="E32" s="287"/>
      <c r="F32" s="287"/>
      <c r="G32" s="288" t="s">
        <v>41</v>
      </c>
      <c r="H32" s="288" t="s">
        <v>37</v>
      </c>
      <c r="I32" s="288" t="s">
        <v>36</v>
      </c>
      <c r="J32" s="288" t="s">
        <v>16</v>
      </c>
    </row>
    <row r="33" spans="1:10" ht="20.25" hidden="1">
      <c r="A33" s="390" t="s">
        <v>87</v>
      </c>
      <c r="B33" s="313">
        <v>1265</v>
      </c>
      <c r="C33" s="295">
        <v>660</v>
      </c>
      <c r="D33" s="295">
        <v>660</v>
      </c>
      <c r="E33" s="100">
        <f>D33*$M$2</f>
        <v>5398800</v>
      </c>
      <c r="F33" s="100">
        <f>+E33/0.94</f>
        <v>5743404.2553191492</v>
      </c>
      <c r="G33" s="291">
        <f>D33/B33</f>
        <v>0.52173913043478259</v>
      </c>
      <c r="H33" s="289">
        <f>J33/0.89</f>
        <v>4795.3102100635078</v>
      </c>
      <c r="I33" s="292">
        <f>J33/0.94</f>
        <v>4540.2405180388532</v>
      </c>
      <c r="J33" s="351">
        <f>G33*$M$2</f>
        <v>4267.826086956522</v>
      </c>
    </row>
    <row r="34" spans="1:10" ht="20.25" hidden="1">
      <c r="A34" s="390" t="s">
        <v>88</v>
      </c>
      <c r="B34" s="313">
        <v>885</v>
      </c>
      <c r="C34" s="295">
        <v>660</v>
      </c>
      <c r="D34" s="295">
        <v>660</v>
      </c>
      <c r="E34" s="100">
        <f t="shared" ref="E34:E48" si="18">D34*$M$2</f>
        <v>5398800</v>
      </c>
      <c r="F34" s="100">
        <f t="shared" ref="F34:F48" si="19">+E34/0.94</f>
        <v>5743404.2553191492</v>
      </c>
      <c r="G34" s="291">
        <f t="shared" ref="G34:G47" si="20">D34/B34</f>
        <v>0.74576271186440679</v>
      </c>
      <c r="H34" s="289">
        <f t="shared" ref="H34:H48" si="21">J34/0.89</f>
        <v>6854.3134641020761</v>
      </c>
      <c r="I34" s="292">
        <f t="shared" ref="I34:I48" si="22">J34/0.94</f>
        <v>6489.7223223945193</v>
      </c>
      <c r="J34" s="351">
        <f t="shared" ref="J34:J48" si="23">G34*$M$2</f>
        <v>6100.3389830508477</v>
      </c>
    </row>
    <row r="35" spans="1:10" ht="20.25" hidden="1">
      <c r="A35" s="391" t="s">
        <v>102</v>
      </c>
      <c r="B35" s="311">
        <v>497.5</v>
      </c>
      <c r="C35" s="311">
        <f>3900000*0.93/$M$2+236</f>
        <v>679.39853300733489</v>
      </c>
      <c r="D35" s="311">
        <f>3900000*0.98/$M$2+236+80</f>
        <v>783.23716381418092</v>
      </c>
      <c r="E35" s="100">
        <f t="shared" si="18"/>
        <v>6406880</v>
      </c>
      <c r="F35" s="100">
        <f t="shared" si="19"/>
        <v>6815829.7872340428</v>
      </c>
      <c r="G35" s="291">
        <f t="shared" ref="G35:G37" si="24">D35/B35</f>
        <v>1.5743460579179516</v>
      </c>
      <c r="H35" s="289">
        <f t="shared" si="21"/>
        <v>14469.832307605442</v>
      </c>
      <c r="I35" s="292">
        <f t="shared" si="22"/>
        <v>13700.160376349833</v>
      </c>
      <c r="J35" s="351">
        <f t="shared" ref="J35:J37" si="25">G35*$M$2</f>
        <v>12878.150753768843</v>
      </c>
    </row>
    <row r="36" spans="1:10" ht="20.25" hidden="1">
      <c r="A36" s="390" t="s">
        <v>103</v>
      </c>
      <c r="B36" s="313">
        <v>1620</v>
      </c>
      <c r="C36" s="295">
        <v>660</v>
      </c>
      <c r="D36" s="295">
        <v>660</v>
      </c>
      <c r="E36" s="100">
        <f t="shared" si="18"/>
        <v>5398800</v>
      </c>
      <c r="F36" s="100">
        <f t="shared" si="19"/>
        <v>5743404.2553191492</v>
      </c>
      <c r="G36" s="291">
        <f t="shared" si="24"/>
        <v>0.40740740740740738</v>
      </c>
      <c r="H36" s="289">
        <f t="shared" si="21"/>
        <v>3744.4860590928006</v>
      </c>
      <c r="I36" s="292">
        <f t="shared" si="22"/>
        <v>3545.3112687155244</v>
      </c>
      <c r="J36" s="351">
        <f t="shared" si="25"/>
        <v>3332.5925925925926</v>
      </c>
    </row>
    <row r="37" spans="1:10" ht="20.25" hidden="1">
      <c r="A37" s="390" t="s">
        <v>117</v>
      </c>
      <c r="B37" s="313">
        <v>649</v>
      </c>
      <c r="C37" s="295">
        <v>718</v>
      </c>
      <c r="D37" s="392">
        <f>E37/M2</f>
        <v>782.3960880195599</v>
      </c>
      <c r="E37" s="100">
        <v>6400000</v>
      </c>
      <c r="F37" s="100">
        <f t="shared" si="19"/>
        <v>6808510.6382978726</v>
      </c>
      <c r="G37" s="291">
        <f t="shared" si="24"/>
        <v>1.2055409676726654</v>
      </c>
      <c r="H37" s="289">
        <f t="shared" si="21"/>
        <v>11080.140579283598</v>
      </c>
      <c r="I37" s="292">
        <f t="shared" si="22"/>
        <v>10490.771399534471</v>
      </c>
      <c r="J37" s="351">
        <f t="shared" si="25"/>
        <v>9861.3251155624021</v>
      </c>
    </row>
    <row r="38" spans="1:10" ht="20.25" hidden="1">
      <c r="A38" s="390" t="s">
        <v>118</v>
      </c>
      <c r="B38" s="313">
        <v>316</v>
      </c>
      <c r="C38" s="295">
        <v>718</v>
      </c>
      <c r="D38" s="392">
        <v>786</v>
      </c>
      <c r="E38" s="100">
        <v>6400000</v>
      </c>
      <c r="F38" s="100">
        <f t="shared" si="19"/>
        <v>6808510.6382978726</v>
      </c>
      <c r="G38" s="291">
        <f t="shared" ref="G38" si="26">D38/B38</f>
        <v>2.4873417721518987</v>
      </c>
      <c r="H38" s="289">
        <f t="shared" si="21"/>
        <v>22861.186175508461</v>
      </c>
      <c r="I38" s="292">
        <f t="shared" si="22"/>
        <v>21645.165634258014</v>
      </c>
      <c r="J38" s="351">
        <f t="shared" ref="J38" si="27">G38*$M$2</f>
        <v>20346.455696202531</v>
      </c>
    </row>
    <row r="39" spans="1:10" ht="20.25" hidden="1">
      <c r="A39" s="391" t="s">
        <v>104</v>
      </c>
      <c r="B39" s="311">
        <v>1126</v>
      </c>
      <c r="C39" s="311">
        <f>3900000*0.93/$M$2+236</f>
        <v>679.39853300733489</v>
      </c>
      <c r="D39" s="311">
        <f>4800000*1/$M$2+127+50</f>
        <v>763.79706601466989</v>
      </c>
      <c r="E39" s="100">
        <f t="shared" si="18"/>
        <v>6247860</v>
      </c>
      <c r="F39" s="100">
        <f t="shared" si="19"/>
        <v>6646659.5744680855</v>
      </c>
      <c r="G39" s="291">
        <f t="shared" si="20"/>
        <v>0.67832776733096789</v>
      </c>
      <c r="H39" s="289">
        <f t="shared" si="21"/>
        <v>6234.5181311992328</v>
      </c>
      <c r="I39" s="292">
        <f t="shared" si="22"/>
        <v>5902.8948263482098</v>
      </c>
      <c r="J39" s="351">
        <f t="shared" si="23"/>
        <v>5548.7211367673171</v>
      </c>
    </row>
    <row r="40" spans="1:10" ht="20.25" hidden="1">
      <c r="A40" s="391" t="s">
        <v>105</v>
      </c>
      <c r="B40" s="311">
        <v>826</v>
      </c>
      <c r="C40" s="311">
        <f>3900000*0.93/$M$2+236</f>
        <v>679.39853300733489</v>
      </c>
      <c r="D40" s="311">
        <f t="shared" ref="D40:D43" si="28">4800000*1/$M$2+127+50</f>
        <v>763.79706601466989</v>
      </c>
      <c r="E40" s="100">
        <f t="shared" si="18"/>
        <v>6247860</v>
      </c>
      <c r="F40" s="100">
        <f t="shared" si="19"/>
        <v>6646659.5744680855</v>
      </c>
      <c r="G40" s="291">
        <f t="shared" si="20"/>
        <v>0.92469378452139217</v>
      </c>
      <c r="H40" s="289">
        <f t="shared" si="21"/>
        <v>8498.8709633539183</v>
      </c>
      <c r="I40" s="292">
        <f t="shared" si="22"/>
        <v>8046.8033589201996</v>
      </c>
      <c r="J40" s="351">
        <f t="shared" si="23"/>
        <v>7563.9951573849876</v>
      </c>
    </row>
    <row r="41" spans="1:10" ht="20.25" hidden="1">
      <c r="A41" s="393" t="s">
        <v>78</v>
      </c>
      <c r="B41" s="292">
        <v>632</v>
      </c>
      <c r="C41" s="311">
        <f t="shared" ref="C41:C43" si="29">3900000*0.93/$M$2+236</f>
        <v>679.39853300733489</v>
      </c>
      <c r="D41" s="311">
        <f t="shared" si="28"/>
        <v>763.79706601466989</v>
      </c>
      <c r="E41" s="100">
        <f t="shared" si="18"/>
        <v>6247860</v>
      </c>
      <c r="F41" s="100">
        <f t="shared" si="19"/>
        <v>6646659.5744680855</v>
      </c>
      <c r="G41" s="291">
        <f t="shared" si="20"/>
        <v>1.208539661415617</v>
      </c>
      <c r="H41" s="289">
        <f t="shared" si="21"/>
        <v>11107.701607168254</v>
      </c>
      <c r="I41" s="292">
        <f t="shared" si="22"/>
        <v>10516.866415297603</v>
      </c>
      <c r="J41" s="351">
        <f t="shared" si="23"/>
        <v>9885.8544303797462</v>
      </c>
    </row>
    <row r="42" spans="1:10" ht="20.25" hidden="1">
      <c r="A42" s="391" t="s">
        <v>80</v>
      </c>
      <c r="B42" s="311">
        <v>632</v>
      </c>
      <c r="C42" s="311">
        <f t="shared" si="29"/>
        <v>679.39853300733489</v>
      </c>
      <c r="D42" s="311">
        <f t="shared" si="28"/>
        <v>763.79706601466989</v>
      </c>
      <c r="E42" s="100">
        <f t="shared" si="18"/>
        <v>6247860</v>
      </c>
      <c r="F42" s="100">
        <f t="shared" si="19"/>
        <v>6646659.5744680855</v>
      </c>
      <c r="G42" s="291">
        <f t="shared" si="20"/>
        <v>1.208539661415617</v>
      </c>
      <c r="H42" s="289">
        <f t="shared" si="21"/>
        <v>11107.701607168254</v>
      </c>
      <c r="I42" s="292">
        <f t="shared" si="22"/>
        <v>10516.866415297603</v>
      </c>
      <c r="J42" s="351">
        <f t="shared" si="23"/>
        <v>9885.8544303797462</v>
      </c>
    </row>
    <row r="43" spans="1:10" ht="20.25" hidden="1">
      <c r="A43" s="393" t="s">
        <v>79</v>
      </c>
      <c r="B43" s="292">
        <v>405</v>
      </c>
      <c r="C43" s="311">
        <f t="shared" si="29"/>
        <v>679.39853300733489</v>
      </c>
      <c r="D43" s="311">
        <f t="shared" si="28"/>
        <v>763.79706601466989</v>
      </c>
      <c r="E43" s="100">
        <f t="shared" si="18"/>
        <v>6247860</v>
      </c>
      <c r="F43" s="100">
        <f t="shared" si="19"/>
        <v>6646659.5744680855</v>
      </c>
      <c r="G43" s="291">
        <f t="shared" si="20"/>
        <v>1.8859186815177034</v>
      </c>
      <c r="H43" s="289">
        <f t="shared" si="21"/>
        <v>17333.499791926755</v>
      </c>
      <c r="I43" s="292">
        <f t="shared" si="22"/>
        <v>16411.505122143419</v>
      </c>
      <c r="J43" s="351">
        <f t="shared" si="23"/>
        <v>15426.814814814814</v>
      </c>
    </row>
    <row r="44" spans="1:10" ht="20.25">
      <c r="A44" s="391" t="s">
        <v>106</v>
      </c>
      <c r="B44" s="311">
        <v>5376.34</v>
      </c>
      <c r="C44" s="311">
        <v>705</v>
      </c>
      <c r="D44" s="311">
        <v>745</v>
      </c>
      <c r="E44" s="100">
        <f t="shared" si="18"/>
        <v>6094100</v>
      </c>
      <c r="F44" s="100">
        <f t="shared" si="19"/>
        <v>6483085.1063829791</v>
      </c>
      <c r="G44" s="291">
        <f t="shared" si="20"/>
        <v>0.13857010531328004</v>
      </c>
      <c r="H44" s="289">
        <f t="shared" si="21"/>
        <v>1273.5993949018321</v>
      </c>
      <c r="I44" s="292">
        <f t="shared" si="22"/>
        <v>1205.8547462368413</v>
      </c>
      <c r="J44" s="351">
        <f t="shared" si="23"/>
        <v>1133.5034614626306</v>
      </c>
    </row>
    <row r="45" spans="1:10" ht="20.25">
      <c r="A45" s="391" t="s">
        <v>107</v>
      </c>
      <c r="B45" s="311">
        <v>3846.15</v>
      </c>
      <c r="C45" s="311">
        <v>705</v>
      </c>
      <c r="D45" s="311">
        <v>745</v>
      </c>
      <c r="E45" s="100">
        <f t="shared" si="18"/>
        <v>6094100</v>
      </c>
      <c r="F45" s="100">
        <f t="shared" si="19"/>
        <v>6483085.1063829791</v>
      </c>
      <c r="G45" s="291">
        <f t="shared" si="20"/>
        <v>0.1937001937001937</v>
      </c>
      <c r="H45" s="289">
        <f t="shared" si="21"/>
        <v>1780.3006567051509</v>
      </c>
      <c r="I45" s="292">
        <f t="shared" si="22"/>
        <v>1685.6038132633878</v>
      </c>
      <c r="J45" s="351">
        <f t="shared" si="23"/>
        <v>1584.4675844675844</v>
      </c>
    </row>
    <row r="46" spans="1:10" ht="20.25">
      <c r="A46" s="391" t="s">
        <v>108</v>
      </c>
      <c r="B46" s="311">
        <v>2531.65</v>
      </c>
      <c r="C46" s="311">
        <v>705</v>
      </c>
      <c r="D46" s="311">
        <v>745</v>
      </c>
      <c r="E46" s="100">
        <f t="shared" si="18"/>
        <v>6094100</v>
      </c>
      <c r="F46" s="100">
        <f t="shared" si="19"/>
        <v>6483085.1063829791</v>
      </c>
      <c r="G46" s="291">
        <f t="shared" si="20"/>
        <v>0.2942744850196512</v>
      </c>
      <c r="H46" s="289">
        <f t="shared" si="21"/>
        <v>2704.6800982705017</v>
      </c>
      <c r="I46" s="292">
        <f t="shared" si="22"/>
        <v>2560.814135596539</v>
      </c>
      <c r="J46" s="351">
        <f t="shared" si="23"/>
        <v>2407.1652874607466</v>
      </c>
    </row>
    <row r="47" spans="1:10" ht="22.5">
      <c r="A47" s="393" t="s">
        <v>76</v>
      </c>
      <c r="B47" s="297">
        <v>523.55999999999995</v>
      </c>
      <c r="C47" s="297">
        <v>550</v>
      </c>
      <c r="D47" s="296">
        <v>760</v>
      </c>
      <c r="E47" s="100">
        <f t="shared" si="18"/>
        <v>6216800</v>
      </c>
      <c r="F47" s="100">
        <f t="shared" si="19"/>
        <v>6613617.021276596</v>
      </c>
      <c r="G47" s="291">
        <f t="shared" si="20"/>
        <v>1.4516005806402323</v>
      </c>
      <c r="H47" s="289">
        <f t="shared" si="21"/>
        <v>13341.677246783258</v>
      </c>
      <c r="I47" s="292">
        <f t="shared" si="22"/>
        <v>12632.013563443725</v>
      </c>
      <c r="J47" s="351">
        <f t="shared" si="23"/>
        <v>11874.0927496371</v>
      </c>
    </row>
    <row r="48" spans="1:10" ht="22.5">
      <c r="A48" s="393" t="s">
        <v>77</v>
      </c>
      <c r="B48" s="297">
        <v>476.1</v>
      </c>
      <c r="C48" s="297">
        <v>550</v>
      </c>
      <c r="D48" s="296">
        <v>760</v>
      </c>
      <c r="E48" s="100">
        <f t="shared" si="18"/>
        <v>6216800</v>
      </c>
      <c r="F48" s="100">
        <f t="shared" si="19"/>
        <v>6613617.021276596</v>
      </c>
      <c r="G48" s="291">
        <f>D48/B48</f>
        <v>1.596303297626549</v>
      </c>
      <c r="H48" s="289">
        <f t="shared" si="21"/>
        <v>14671.641544477721</v>
      </c>
      <c r="I48" s="292">
        <f t="shared" si="22"/>
        <v>13891.235079345928</v>
      </c>
      <c r="J48" s="351">
        <f t="shared" si="23"/>
        <v>13057.760974585171</v>
      </c>
    </row>
    <row r="49" spans="1:10">
      <c r="A49" s="318"/>
      <c r="B49" s="318"/>
      <c r="C49" s="318"/>
      <c r="D49" s="318"/>
      <c r="E49" s="318"/>
      <c r="F49" s="318"/>
      <c r="G49" s="318"/>
      <c r="H49" s="318"/>
      <c r="I49" s="318"/>
      <c r="J49" s="318"/>
    </row>
  </sheetData>
  <mergeCells count="2">
    <mergeCell ref="A1:J1"/>
    <mergeCell ref="A31:J31"/>
  </mergeCells>
  <pageMargins left="0.35" right="0.7" top="0.4" bottom="0.72" header="0.3" footer="0.3"/>
  <pageSetup paperSize="9" scale="3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5:DN254"/>
  <sheetViews>
    <sheetView topLeftCell="A163" zoomScale="55" zoomScaleNormal="55" workbookViewId="0">
      <selection activeCell="Q67" sqref="Q67"/>
    </sheetView>
  </sheetViews>
  <sheetFormatPr defaultRowHeight="14.25"/>
  <cols>
    <col min="1" max="1" width="14.140625" style="7" customWidth="1"/>
    <col min="2" max="2" width="14.42578125" style="7" customWidth="1"/>
    <col min="3" max="3" width="15.5703125" style="7" customWidth="1"/>
    <col min="4" max="4" width="23.140625" style="7" hidden="1" customWidth="1"/>
    <col min="5" max="5" width="15" style="7" customWidth="1"/>
    <col min="6" max="6" width="23.140625" style="7" hidden="1" customWidth="1"/>
    <col min="7" max="8" width="14.7109375" style="7" hidden="1" customWidth="1"/>
    <col min="9" max="9" width="18" style="7" hidden="1" customWidth="1"/>
    <col min="10" max="10" width="29.140625" style="7" hidden="1" customWidth="1"/>
    <col min="11" max="11" width="36.140625" style="7" hidden="1" customWidth="1"/>
    <col min="12" max="12" width="19.140625" style="7" hidden="1" customWidth="1"/>
    <col min="13" max="13" width="24.42578125" style="7" hidden="1" customWidth="1"/>
    <col min="14" max="14" width="20.7109375" style="7" hidden="1" customWidth="1"/>
    <col min="15" max="15" width="23.7109375" style="7" hidden="1" customWidth="1"/>
    <col min="16" max="16" width="23" style="7" customWidth="1"/>
    <col min="17" max="17" width="23.7109375" style="7" customWidth="1"/>
    <col min="18" max="18" width="17.42578125" style="7" customWidth="1"/>
    <col min="19" max="19" width="22.85546875" style="7" hidden="1" customWidth="1"/>
    <col min="20" max="20" width="24.7109375" style="7" customWidth="1"/>
    <col min="21" max="21" width="25.5703125" style="7" hidden="1" customWidth="1"/>
    <col min="22" max="22" width="11.7109375" style="7" hidden="1" customWidth="1"/>
    <col min="23" max="23" width="12.7109375" style="7" hidden="1" customWidth="1"/>
    <col min="24" max="24" width="23.7109375" style="7" hidden="1" customWidth="1"/>
    <col min="25" max="25" width="38.7109375" style="7" hidden="1" customWidth="1"/>
    <col min="26" max="26" width="35" style="7" hidden="1" customWidth="1"/>
    <col min="27" max="27" width="20.5703125" style="7" hidden="1" customWidth="1"/>
    <col min="28" max="28" width="26.7109375" style="7" hidden="1" customWidth="1"/>
    <col min="29" max="29" width="24.85546875" style="7" hidden="1" customWidth="1"/>
    <col min="30" max="30" width="30.28515625" style="7" hidden="1" customWidth="1"/>
    <col min="31" max="31" width="3.140625" style="7" customWidth="1"/>
    <col min="32" max="32" width="41.42578125" style="7" bestFit="1" customWidth="1"/>
    <col min="33" max="33" width="47.28515625" style="7" customWidth="1"/>
    <col min="34" max="34" width="31.28515625" style="7" customWidth="1"/>
    <col min="35" max="35" width="60.28515625" style="7" customWidth="1"/>
    <col min="36" max="36" width="38.42578125" style="7" customWidth="1"/>
    <col min="37" max="37" width="26.28515625" style="7" customWidth="1"/>
    <col min="38" max="38" width="15" style="7" customWidth="1"/>
    <col min="39" max="39" width="15.42578125" style="7" customWidth="1"/>
    <col min="40" max="40" width="10" style="7" customWidth="1"/>
    <col min="41" max="41" width="24.28515625" style="7" customWidth="1"/>
    <col min="42" max="42" width="9.140625" style="7" customWidth="1"/>
    <col min="43" max="43" width="15.42578125" style="7" customWidth="1"/>
    <col min="44" max="55" width="9.140625" style="7" customWidth="1"/>
    <col min="56" max="16384" width="9.140625" style="7"/>
  </cols>
  <sheetData>
    <row r="5" spans="1:38" ht="15" thickBot="1"/>
    <row r="6" spans="1:38">
      <c r="H6" s="417" t="s">
        <v>59</v>
      </c>
      <c r="I6" s="418"/>
      <c r="J6" s="418"/>
      <c r="K6" s="418"/>
      <c r="L6" s="419"/>
    </row>
    <row r="7" spans="1:38">
      <c r="H7" s="420"/>
      <c r="I7" s="421"/>
      <c r="J7" s="421"/>
      <c r="K7" s="421"/>
      <c r="L7" s="422"/>
    </row>
    <row r="8" spans="1:38">
      <c r="H8" s="420"/>
      <c r="I8" s="421"/>
      <c r="J8" s="421"/>
      <c r="K8" s="421"/>
      <c r="L8" s="422"/>
    </row>
    <row r="9" spans="1:38">
      <c r="H9" s="420"/>
      <c r="I9" s="421"/>
      <c r="J9" s="421"/>
      <c r="K9" s="421"/>
      <c r="L9" s="422"/>
    </row>
    <row r="10" spans="1:38">
      <c r="H10" s="420"/>
      <c r="I10" s="421"/>
      <c r="J10" s="421"/>
      <c r="K10" s="421"/>
      <c r="L10" s="422"/>
    </row>
    <row r="11" spans="1:38" ht="15" thickBot="1">
      <c r="H11" s="423"/>
      <c r="I11" s="424"/>
      <c r="J11" s="424"/>
      <c r="K11" s="424"/>
      <c r="L11" s="425"/>
    </row>
    <row r="14" spans="1:38" ht="15" thickBot="1">
      <c r="O14" s="9"/>
      <c r="P14" s="9"/>
    </row>
    <row r="15" spans="1:38" ht="10.5" customHeight="1" thickBot="1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70"/>
      <c r="O15" s="69"/>
      <c r="P15" s="71"/>
      <c r="Q15" s="71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72"/>
      <c r="AG15" s="426"/>
      <c r="AH15" s="427"/>
    </row>
    <row r="16" spans="1:38" ht="27.75" thickBot="1">
      <c r="A16" s="428" t="s">
        <v>113</v>
      </c>
      <c r="B16" s="429"/>
      <c r="C16" s="429"/>
      <c r="D16" s="429"/>
      <c r="E16" s="429"/>
      <c r="F16" s="429"/>
      <c r="G16" s="429"/>
      <c r="H16" s="429"/>
      <c r="I16" s="429"/>
      <c r="J16" s="429"/>
      <c r="K16" s="429"/>
      <c r="L16" s="429"/>
      <c r="M16" s="429"/>
      <c r="N16" s="429"/>
      <c r="O16" s="430"/>
      <c r="P16" s="84"/>
      <c r="Q16" s="401" t="s">
        <v>114</v>
      </c>
      <c r="R16" s="402"/>
      <c r="S16" s="402"/>
      <c r="T16" s="402"/>
      <c r="U16" s="402"/>
      <c r="V16" s="402"/>
      <c r="W16" s="402"/>
      <c r="X16" s="402"/>
      <c r="Y16" s="402"/>
      <c r="Z16" s="402"/>
      <c r="AA16" s="402"/>
      <c r="AB16" s="402"/>
      <c r="AC16" s="402"/>
      <c r="AD16" s="403"/>
      <c r="AE16" s="72"/>
      <c r="AG16" s="404" t="s">
        <v>43</v>
      </c>
      <c r="AH16" s="405"/>
      <c r="AK16" s="399"/>
      <c r="AL16" s="400"/>
    </row>
    <row r="17" spans="1:41" ht="108" customHeight="1" thickBot="1">
      <c r="A17" s="85" t="s">
        <v>115</v>
      </c>
      <c r="B17" s="86" t="s">
        <v>42</v>
      </c>
      <c r="C17" s="86" t="s">
        <v>0</v>
      </c>
      <c r="D17" s="86" t="s">
        <v>21</v>
      </c>
      <c r="E17" s="86" t="s">
        <v>45</v>
      </c>
      <c r="F17" s="86" t="s">
        <v>26</v>
      </c>
      <c r="G17" s="86" t="s">
        <v>22</v>
      </c>
      <c r="H17" s="86" t="s">
        <v>23</v>
      </c>
      <c r="I17" s="86" t="s">
        <v>24</v>
      </c>
      <c r="J17" s="86" t="s">
        <v>28</v>
      </c>
      <c r="K17" s="86" t="s">
        <v>27</v>
      </c>
      <c r="L17" s="86" t="s">
        <v>25</v>
      </c>
      <c r="M17" s="86" t="s">
        <v>85</v>
      </c>
      <c r="N17" s="86" t="s">
        <v>84</v>
      </c>
      <c r="O17" s="87" t="s">
        <v>73</v>
      </c>
      <c r="P17" s="263" t="s">
        <v>91</v>
      </c>
      <c r="Q17" s="268"/>
      <c r="R17" s="267" t="s">
        <v>0</v>
      </c>
      <c r="S17" s="86" t="s">
        <v>21</v>
      </c>
      <c r="T17" s="86" t="s">
        <v>44</v>
      </c>
      <c r="U17" s="86" t="s">
        <v>39</v>
      </c>
      <c r="V17" s="86" t="s">
        <v>22</v>
      </c>
      <c r="W17" s="86" t="s">
        <v>23</v>
      </c>
      <c r="X17" s="86" t="s">
        <v>24</v>
      </c>
      <c r="Y17" s="86" t="s">
        <v>29</v>
      </c>
      <c r="Z17" s="86" t="s">
        <v>30</v>
      </c>
      <c r="AA17" s="86" t="s">
        <v>25</v>
      </c>
      <c r="AB17" s="86" t="s">
        <v>82</v>
      </c>
      <c r="AC17" s="86" t="s">
        <v>83</v>
      </c>
      <c r="AD17" s="87" t="s">
        <v>73</v>
      </c>
      <c r="AE17" s="72"/>
      <c r="AG17" s="411">
        <v>8200</v>
      </c>
      <c r="AH17" s="412"/>
      <c r="AK17" s="407"/>
      <c r="AL17" s="407"/>
    </row>
    <row r="18" spans="1:41" ht="30.75" customHeight="1">
      <c r="A18" s="95">
        <v>15</v>
      </c>
      <c r="B18" s="96">
        <v>15</v>
      </c>
      <c r="C18" s="96">
        <v>1.2</v>
      </c>
      <c r="D18" s="97">
        <f>F18*E18</f>
        <v>8500000</v>
      </c>
      <c r="E18" s="97">
        <v>2000</v>
      </c>
      <c r="F18" s="331">
        <v>4250</v>
      </c>
      <c r="G18" s="88">
        <f>$AF$46</f>
        <v>0.98</v>
      </c>
      <c r="H18" s="89">
        <f>$AG$46</f>
        <v>8100</v>
      </c>
      <c r="I18" s="89">
        <f>AH46</f>
        <v>115</v>
      </c>
      <c r="J18" s="89">
        <f>D18*G18/H18+I18</f>
        <v>1143.3950617283951</v>
      </c>
      <c r="K18" s="90"/>
      <c r="L18" s="337">
        <f>J18/E18</f>
        <v>0.57169753086419761</v>
      </c>
      <c r="M18" s="91">
        <f>O18/0.88</f>
        <v>5327.1815375982051</v>
      </c>
      <c r="N18" s="92">
        <f>O18/0.93</f>
        <v>5040.7739280499145</v>
      </c>
      <c r="O18" s="93">
        <f>L18*$AG$17</f>
        <v>4687.9197530864203</v>
      </c>
      <c r="P18" s="263"/>
      <c r="Q18" s="264" t="s">
        <v>92</v>
      </c>
      <c r="R18" s="265">
        <v>0.8</v>
      </c>
      <c r="S18" s="265"/>
      <c r="T18" s="265">
        <v>4347.82</v>
      </c>
      <c r="U18" s="265"/>
      <c r="V18" s="265"/>
      <c r="W18" s="265"/>
      <c r="X18" s="265"/>
      <c r="Y18" s="265">
        <v>1150</v>
      </c>
      <c r="Z18" s="265">
        <v>1900</v>
      </c>
      <c r="AA18" s="274">
        <f>Z18/T18</f>
        <v>0.43700061180085653</v>
      </c>
      <c r="AB18" s="212">
        <f>AD18/0.88</f>
        <v>4072.0511554170721</v>
      </c>
      <c r="AC18" s="213">
        <f>AD18/0.93</f>
        <v>3853.1236739430356</v>
      </c>
      <c r="AD18" s="220">
        <f>AA18*$AG$17</f>
        <v>3583.4050167670234</v>
      </c>
      <c r="AE18" s="72"/>
      <c r="AG18" s="34"/>
      <c r="AH18" s="34"/>
      <c r="AK18" s="35"/>
      <c r="AL18" s="35"/>
    </row>
    <row r="19" spans="1:41" ht="33" customHeight="1">
      <c r="A19" s="95">
        <v>15</v>
      </c>
      <c r="B19" s="96">
        <v>15</v>
      </c>
      <c r="C19" s="96">
        <v>1.7</v>
      </c>
      <c r="D19" s="97">
        <f>E19*F19</f>
        <v>8000014.3999999994</v>
      </c>
      <c r="E19" s="97">
        <v>1492.54</v>
      </c>
      <c r="F19" s="331">
        <v>5360</v>
      </c>
      <c r="G19" s="88">
        <f>$AF$46</f>
        <v>0.98</v>
      </c>
      <c r="H19" s="89">
        <f>$AG$46</f>
        <v>8100</v>
      </c>
      <c r="I19" s="89">
        <f>AH46</f>
        <v>115</v>
      </c>
      <c r="J19" s="89">
        <f>D19*G19/H19+I19</f>
        <v>1082.9029767901234</v>
      </c>
      <c r="K19" s="90"/>
      <c r="L19" s="244">
        <f>J19/E19</f>
        <v>0.72554368847074346</v>
      </c>
      <c r="M19" s="91">
        <f t="shared" ref="M19:M28" si="0">O19/0.88</f>
        <v>6760.7480062046552</v>
      </c>
      <c r="N19" s="92">
        <f t="shared" ref="N19:N28" si="1">O19/0.93</f>
        <v>6397.2669306022544</v>
      </c>
      <c r="O19" s="93">
        <f t="shared" ref="O19:O25" si="2">L19*$AG$17</f>
        <v>5949.4582454600968</v>
      </c>
      <c r="P19" s="84"/>
      <c r="Q19" s="160" t="s">
        <v>55</v>
      </c>
      <c r="R19" s="94">
        <v>1.5</v>
      </c>
      <c r="S19" s="94"/>
      <c r="T19" s="94">
        <v>1851.85</v>
      </c>
      <c r="U19" s="94"/>
      <c r="V19" s="94"/>
      <c r="W19" s="94"/>
      <c r="X19" s="94"/>
      <c r="Y19" s="114">
        <v>1035</v>
      </c>
      <c r="Z19" s="94">
        <v>1500</v>
      </c>
      <c r="AA19" s="274">
        <f>Z19/T19</f>
        <v>0.81000081000081003</v>
      </c>
      <c r="AB19" s="212">
        <f t="shared" ref="AB19:AB53" si="3">AD19/0.88</f>
        <v>7547.7348204620939</v>
      </c>
      <c r="AC19" s="213">
        <f t="shared" ref="AC19:AC53" si="4">AD19/0.93</f>
        <v>7141.9426258135936</v>
      </c>
      <c r="AD19" s="220">
        <f t="shared" ref="AD19:AD39" si="5">AA19*$AG$17</f>
        <v>6642.0066420066423</v>
      </c>
      <c r="AE19" s="72"/>
      <c r="AG19" s="34"/>
      <c r="AH19" s="34"/>
      <c r="AK19" s="35"/>
      <c r="AL19" s="35"/>
    </row>
    <row r="20" spans="1:41" ht="35.25" customHeight="1">
      <c r="A20" s="300" t="s">
        <v>94</v>
      </c>
      <c r="B20" s="301">
        <v>20</v>
      </c>
      <c r="C20" s="301">
        <v>0.9</v>
      </c>
      <c r="D20" s="302"/>
      <c r="E20" s="302">
        <v>1886.8</v>
      </c>
      <c r="F20" s="302"/>
      <c r="G20" s="303"/>
      <c r="H20" s="304"/>
      <c r="I20" s="304"/>
      <c r="J20" s="304">
        <v>1150</v>
      </c>
      <c r="K20" s="304">
        <v>1300</v>
      </c>
      <c r="L20" s="244">
        <f>K20/E20</f>
        <v>0.68899724401102402</v>
      </c>
      <c r="M20" s="91">
        <f>O20/0.88</f>
        <v>6420.2015919209061</v>
      </c>
      <c r="N20" s="92">
        <f>O20/0.93</f>
        <v>6075.0294633230069</v>
      </c>
      <c r="O20" s="93">
        <f>L20*$AG$17</f>
        <v>5649.7774008903971</v>
      </c>
      <c r="P20" s="84"/>
      <c r="Q20" s="111">
        <v>15</v>
      </c>
      <c r="R20" s="112">
        <v>1.7</v>
      </c>
      <c r="S20" s="113">
        <f t="shared" ref="S20:S30" si="6">U20*T20</f>
        <v>7900072.6500000004</v>
      </c>
      <c r="T20" s="112">
        <v>1216.5</v>
      </c>
      <c r="U20" s="329">
        <v>6494.1</v>
      </c>
      <c r="V20" s="115">
        <v>1.03</v>
      </c>
      <c r="W20" s="137">
        <f>W21</f>
        <v>8100</v>
      </c>
      <c r="X20" s="137">
        <f>AH46</f>
        <v>115</v>
      </c>
      <c r="Y20" s="163">
        <f>S20*V20/W20+X20</f>
        <v>1119.5771394444446</v>
      </c>
      <c r="Z20" s="116"/>
      <c r="AA20" s="269">
        <f>Y20/T20</f>
        <v>0.92032646070237945</v>
      </c>
      <c r="AB20" s="212">
        <f t="shared" si="3"/>
        <v>8575.769292908537</v>
      </c>
      <c r="AC20" s="213">
        <f t="shared" si="4"/>
        <v>8114.7064276983992</v>
      </c>
      <c r="AD20" s="220">
        <f t="shared" si="5"/>
        <v>7546.6769777595118</v>
      </c>
      <c r="AE20" s="72"/>
      <c r="AG20" s="34"/>
      <c r="AH20" s="34"/>
      <c r="AK20" s="35"/>
      <c r="AL20" s="35"/>
    </row>
    <row r="21" spans="1:41" ht="35.25" customHeight="1">
      <c r="A21" s="98">
        <v>20</v>
      </c>
      <c r="B21" s="99">
        <v>20</v>
      </c>
      <c r="C21" s="99">
        <v>1.2</v>
      </c>
      <c r="D21" s="100">
        <f>F21*E21</f>
        <v>8400026.879999999</v>
      </c>
      <c r="E21" s="100">
        <v>1449.28</v>
      </c>
      <c r="F21" s="241">
        <v>5796</v>
      </c>
      <c r="G21" s="101">
        <f>$AF$51</f>
        <v>0.98</v>
      </c>
      <c r="H21" s="102">
        <f>H19</f>
        <v>8100</v>
      </c>
      <c r="I21" s="102">
        <f>AH46</f>
        <v>115</v>
      </c>
      <c r="J21" s="102">
        <f>D21*G21/H21+I21</f>
        <v>1131.2995484444441</v>
      </c>
      <c r="K21" s="90"/>
      <c r="L21" s="103">
        <f>J21/E21</f>
        <v>0.7805941905252568</v>
      </c>
      <c r="M21" s="91">
        <f t="shared" si="0"/>
        <v>7273.7185935308016</v>
      </c>
      <c r="N21" s="92">
        <f t="shared" si="1"/>
        <v>6882.658454093661</v>
      </c>
      <c r="O21" s="93">
        <f t="shared" si="2"/>
        <v>6400.8723623071055</v>
      </c>
      <c r="P21" s="84"/>
      <c r="Q21" s="111">
        <v>15</v>
      </c>
      <c r="R21" s="112">
        <v>2.8</v>
      </c>
      <c r="S21" s="113">
        <f t="shared" si="6"/>
        <v>7800067.5499999998</v>
      </c>
      <c r="T21" s="112">
        <v>783.1</v>
      </c>
      <c r="U21" s="329">
        <v>9960.5</v>
      </c>
      <c r="V21" s="115">
        <f>$AF$46</f>
        <v>0.98</v>
      </c>
      <c r="W21" s="137">
        <f>AG46</f>
        <v>8100</v>
      </c>
      <c r="X21" s="137">
        <f>AH46+15</f>
        <v>130</v>
      </c>
      <c r="Y21" s="163">
        <f>S21*V21/W21+X21</f>
        <v>1073.711876419753</v>
      </c>
      <c r="Z21" s="116"/>
      <c r="AA21" s="269">
        <f>Y21/T21</f>
        <v>1.3711044265352483</v>
      </c>
      <c r="AB21" s="212">
        <f t="shared" si="3"/>
        <v>12776.200338169359</v>
      </c>
      <c r="AC21" s="213">
        <f t="shared" si="4"/>
        <v>12089.307846869931</v>
      </c>
      <c r="AD21" s="220">
        <f t="shared" si="5"/>
        <v>11243.056297589037</v>
      </c>
      <c r="AE21" s="72"/>
      <c r="AG21" s="34"/>
      <c r="AH21" s="34"/>
      <c r="AK21" s="35"/>
      <c r="AL21" s="35"/>
    </row>
    <row r="22" spans="1:41" ht="26.25" customHeight="1">
      <c r="A22" s="104">
        <v>20</v>
      </c>
      <c r="B22" s="105">
        <v>20</v>
      </c>
      <c r="C22" s="105">
        <v>1.5</v>
      </c>
      <c r="D22" s="106"/>
      <c r="E22" s="106">
        <v>1190.06</v>
      </c>
      <c r="F22" s="120">
        <f t="shared" ref="F22:F26" si="7">D22/E22</f>
        <v>0</v>
      </c>
      <c r="G22" s="107"/>
      <c r="H22" s="108"/>
      <c r="I22" s="108"/>
      <c r="J22" s="109"/>
      <c r="K22" s="110">
        <f>AH40</f>
        <v>1085</v>
      </c>
      <c r="L22" s="103">
        <f>K22/E22</f>
        <v>0.91171873687040994</v>
      </c>
      <c r="M22" s="91">
        <f>O22/0.88</f>
        <v>8495.5609572015474</v>
      </c>
      <c r="N22" s="92">
        <f t="shared" si="1"/>
        <v>8038.8103681046896</v>
      </c>
      <c r="O22" s="93">
        <f t="shared" si="2"/>
        <v>7476.0936423373614</v>
      </c>
      <c r="P22" s="84"/>
      <c r="Q22" s="125" t="s">
        <v>54</v>
      </c>
      <c r="R22" s="126">
        <v>1.5</v>
      </c>
      <c r="S22" s="307">
        <f t="shared" si="6"/>
        <v>0</v>
      </c>
      <c r="T22" s="126">
        <v>1150</v>
      </c>
      <c r="U22" s="114"/>
      <c r="V22" s="127"/>
      <c r="W22" s="128"/>
      <c r="X22" s="128"/>
      <c r="Y22" s="304">
        <v>1035</v>
      </c>
      <c r="Z22" s="165">
        <v>1115</v>
      </c>
      <c r="AA22" s="269">
        <f>Z22/T22</f>
        <v>0.9695652173913043</v>
      </c>
      <c r="AB22" s="212">
        <f t="shared" si="3"/>
        <v>9034.584980237154</v>
      </c>
      <c r="AC22" s="213">
        <f t="shared" si="4"/>
        <v>8548.8546049555862</v>
      </c>
      <c r="AD22" s="220">
        <f t="shared" si="5"/>
        <v>7950.4347826086951</v>
      </c>
      <c r="AE22" s="72"/>
      <c r="AG22" s="34"/>
      <c r="AH22" s="34"/>
      <c r="AK22" s="35"/>
      <c r="AL22" s="35"/>
    </row>
    <row r="23" spans="1:41" ht="27.75" customHeight="1">
      <c r="A23" s="170">
        <v>20</v>
      </c>
      <c r="B23" s="123">
        <v>20</v>
      </c>
      <c r="C23" s="123" t="s">
        <v>6</v>
      </c>
      <c r="D23" s="171">
        <f>E23*F23</f>
        <v>8500081.1400000006</v>
      </c>
      <c r="E23" s="171">
        <v>1063.8</v>
      </c>
      <c r="F23" s="241">
        <v>7990.3</v>
      </c>
      <c r="G23" s="121"/>
      <c r="H23" s="122"/>
      <c r="I23" s="122"/>
      <c r="J23" s="109">
        <v>712</v>
      </c>
      <c r="K23" s="123">
        <f>K27</f>
        <v>1035</v>
      </c>
      <c r="L23" s="103">
        <f>K23/E23</f>
        <v>0.97292724196277502</v>
      </c>
      <c r="M23" s="91">
        <f t="shared" si="0"/>
        <v>9065.9129364713135</v>
      </c>
      <c r="N23" s="92">
        <f t="shared" si="1"/>
        <v>8578.4982624674776</v>
      </c>
      <c r="O23" s="93">
        <f t="shared" si="2"/>
        <v>7978.0033840947553</v>
      </c>
      <c r="P23" s="84"/>
      <c r="Q23" s="129">
        <v>20</v>
      </c>
      <c r="R23" s="130">
        <v>1.5</v>
      </c>
      <c r="S23" s="113">
        <f t="shared" ca="1" si="6"/>
        <v>8600046.75</v>
      </c>
      <c r="T23" s="130">
        <v>1068.3800000000001</v>
      </c>
      <c r="U23" s="144">
        <f ca="1">S23/T23</f>
        <v>0</v>
      </c>
      <c r="V23" s="132"/>
      <c r="W23" s="133"/>
      <c r="X23" s="133"/>
      <c r="Y23" s="164"/>
      <c r="Z23" s="131">
        <f>AH40</f>
        <v>1085</v>
      </c>
      <c r="AA23" s="269">
        <f>Z23/T23</f>
        <v>1.0155562627529531</v>
      </c>
      <c r="AB23" s="212">
        <f t="shared" si="3"/>
        <v>9463.1379029252439</v>
      </c>
      <c r="AC23" s="213">
        <f t="shared" si="4"/>
        <v>8954.3670479292632</v>
      </c>
      <c r="AD23" s="220">
        <f t="shared" si="5"/>
        <v>8327.5613545742144</v>
      </c>
      <c r="AE23" s="72"/>
      <c r="AG23" s="34"/>
      <c r="AH23" s="34"/>
      <c r="AK23" s="35"/>
      <c r="AL23" s="35"/>
    </row>
    <row r="24" spans="1:41" ht="23.25" customHeight="1">
      <c r="A24" s="98">
        <v>20</v>
      </c>
      <c r="B24" s="99">
        <v>20</v>
      </c>
      <c r="C24" s="99">
        <v>2</v>
      </c>
      <c r="D24" s="100">
        <f>E24*F24</f>
        <v>8500074.5800000001</v>
      </c>
      <c r="E24" s="100">
        <v>930.2</v>
      </c>
      <c r="F24" s="241">
        <v>9137.9</v>
      </c>
      <c r="G24" s="101">
        <f>AF46</f>
        <v>0.98</v>
      </c>
      <c r="H24" s="102">
        <f>$AG$46</f>
        <v>8100</v>
      </c>
      <c r="I24" s="102">
        <f>AH46</f>
        <v>115</v>
      </c>
      <c r="J24" s="102">
        <f>D24*G24/H24+I24</f>
        <v>1143.4040849876542</v>
      </c>
      <c r="K24" s="109">
        <v>1080</v>
      </c>
      <c r="L24" s="103">
        <f>K24/E24</f>
        <v>1.1610406364222747</v>
      </c>
      <c r="M24" s="91">
        <f>O24/0.88</f>
        <v>10818.787748480287</v>
      </c>
      <c r="N24" s="92">
        <f>O24/0.93</f>
        <v>10237.132493185647</v>
      </c>
      <c r="O24" s="93">
        <f>L24*$AG$17</f>
        <v>9520.5332186626529</v>
      </c>
      <c r="P24" s="124"/>
      <c r="Q24" s="221">
        <v>20</v>
      </c>
      <c r="R24" s="136">
        <v>1.7</v>
      </c>
      <c r="S24" s="113">
        <f t="shared" si="6"/>
        <v>7900062.7599999998</v>
      </c>
      <c r="T24" s="135">
        <v>952.4</v>
      </c>
      <c r="U24" s="329">
        <v>8294.9</v>
      </c>
      <c r="V24" s="135"/>
      <c r="W24" s="135"/>
      <c r="X24" s="135"/>
      <c r="Y24" s="164"/>
      <c r="Z24" s="135">
        <f>AG40</f>
        <v>1035</v>
      </c>
      <c r="AA24" s="269">
        <f>Z24/T24</f>
        <v>1.0867282654346913</v>
      </c>
      <c r="AB24" s="212">
        <f t="shared" si="3"/>
        <v>10126.331564277805</v>
      </c>
      <c r="AC24" s="213">
        <f t="shared" si="4"/>
        <v>9581.9051360908252</v>
      </c>
      <c r="AD24" s="220">
        <f t="shared" si="5"/>
        <v>8911.171776564468</v>
      </c>
      <c r="AE24" s="73"/>
      <c r="AG24" s="8"/>
      <c r="AH24" s="8"/>
      <c r="AK24" s="7" t="s">
        <v>81</v>
      </c>
    </row>
    <row r="25" spans="1:41" ht="26.25" customHeight="1">
      <c r="A25" s="98">
        <v>25</v>
      </c>
      <c r="B25" s="99">
        <v>25</v>
      </c>
      <c r="C25" s="99">
        <v>1.2</v>
      </c>
      <c r="D25" s="100">
        <f>F25*E25</f>
        <v>8400086.7559999991</v>
      </c>
      <c r="E25" s="100">
        <v>1136.3599999999999</v>
      </c>
      <c r="F25" s="241">
        <v>7392.1</v>
      </c>
      <c r="G25" s="101">
        <f>AF46</f>
        <v>0.98</v>
      </c>
      <c r="H25" s="102">
        <f>$AG$46</f>
        <v>8100</v>
      </c>
      <c r="I25" s="102">
        <f>I24</f>
        <v>115</v>
      </c>
      <c r="J25" s="102">
        <f>D25*G25/H25+I25</f>
        <v>1131.3067927012344</v>
      </c>
      <c r="K25" s="109"/>
      <c r="L25" s="103">
        <f>J25/E25</f>
        <v>0.995553163347209</v>
      </c>
      <c r="M25" s="91">
        <f t="shared" si="0"/>
        <v>9276.7453857353557</v>
      </c>
      <c r="N25" s="92">
        <f>O25/0.9</f>
        <v>9070.59548827457</v>
      </c>
      <c r="O25" s="93">
        <f t="shared" si="2"/>
        <v>8163.5359394471134</v>
      </c>
      <c r="P25" s="124"/>
      <c r="Q25" s="221">
        <v>20</v>
      </c>
      <c r="R25" s="136">
        <v>2.1</v>
      </c>
      <c r="S25" s="113">
        <f t="shared" si="6"/>
        <v>7900036.8199999994</v>
      </c>
      <c r="T25" s="135">
        <v>781.3</v>
      </c>
      <c r="U25" s="329">
        <v>10111.4</v>
      </c>
      <c r="V25" s="135"/>
      <c r="W25" s="135"/>
      <c r="X25" s="135"/>
      <c r="Y25" s="164">
        <v>830</v>
      </c>
      <c r="Z25" s="135">
        <f>AG40</f>
        <v>1035</v>
      </c>
      <c r="AA25" s="269">
        <f>Z25/T25</f>
        <v>1.3247152182260336</v>
      </c>
      <c r="AB25" s="212">
        <f t="shared" si="3"/>
        <v>12343.937260742585</v>
      </c>
      <c r="AC25" s="213">
        <f t="shared" si="4"/>
        <v>11680.284719842444</v>
      </c>
      <c r="AD25" s="220">
        <f t="shared" si="5"/>
        <v>10862.664789453474</v>
      </c>
      <c r="AE25" s="73"/>
      <c r="AG25" s="8"/>
      <c r="AH25" s="8"/>
    </row>
    <row r="26" spans="1:41" ht="22.5">
      <c r="A26" s="104">
        <v>25</v>
      </c>
      <c r="B26" s="105">
        <v>25</v>
      </c>
      <c r="C26" s="105">
        <v>1.5</v>
      </c>
      <c r="D26" s="106"/>
      <c r="E26" s="106">
        <v>934.58</v>
      </c>
      <c r="F26" s="120">
        <f t="shared" si="7"/>
        <v>0</v>
      </c>
      <c r="G26" s="107"/>
      <c r="H26" s="108"/>
      <c r="I26" s="108"/>
      <c r="J26" s="109"/>
      <c r="K26" s="110">
        <f>K30</f>
        <v>1085</v>
      </c>
      <c r="L26" s="103">
        <f>K26/E26</f>
        <v>1.1609493034304179</v>
      </c>
      <c r="M26" s="91">
        <f t="shared" si="0"/>
        <v>10817.936691056168</v>
      </c>
      <c r="N26" s="92">
        <f t="shared" si="1"/>
        <v>10236.327191537019</v>
      </c>
      <c r="O26" s="93">
        <f t="shared" ref="O26:O41" si="8">L26*$AG$17</f>
        <v>9519.7842881294273</v>
      </c>
      <c r="P26" s="134"/>
      <c r="Q26" s="111">
        <v>20</v>
      </c>
      <c r="R26" s="112">
        <v>2.8</v>
      </c>
      <c r="S26" s="113">
        <f t="shared" si="6"/>
        <v>7800055.919999999</v>
      </c>
      <c r="T26" s="112">
        <v>602.4</v>
      </c>
      <c r="U26" s="329">
        <v>12948.3</v>
      </c>
      <c r="V26" s="115">
        <f>$AF$46</f>
        <v>0.98</v>
      </c>
      <c r="W26" s="137">
        <f>AG46</f>
        <v>8100</v>
      </c>
      <c r="X26" s="137">
        <f>X21</f>
        <v>130</v>
      </c>
      <c r="Y26" s="163">
        <f>S26*V26/W26+X26</f>
        <v>1073.7104693333331</v>
      </c>
      <c r="Z26" s="116"/>
      <c r="AA26" s="269">
        <f>Y26/T26</f>
        <v>1.7823878972996898</v>
      </c>
      <c r="AB26" s="212">
        <f t="shared" si="3"/>
        <v>16608.614497565293</v>
      </c>
      <c r="AC26" s="213">
        <f>AD26/0.93</f>
        <v>15715.678234255329</v>
      </c>
      <c r="AD26" s="220">
        <f t="shared" si="5"/>
        <v>14615.580757857457</v>
      </c>
      <c r="AE26" s="72"/>
      <c r="AJ26" s="41"/>
    </row>
    <row r="27" spans="1:41" ht="21" customHeight="1">
      <c r="A27" s="170">
        <v>25</v>
      </c>
      <c r="B27" s="123">
        <v>25</v>
      </c>
      <c r="C27" s="123">
        <v>1.7</v>
      </c>
      <c r="D27" s="171">
        <f>E27*F27</f>
        <v>8500049.3330000006</v>
      </c>
      <c r="E27" s="171">
        <v>833.33</v>
      </c>
      <c r="F27" s="241">
        <v>10200.1</v>
      </c>
      <c r="G27" s="121"/>
      <c r="H27" s="122"/>
      <c r="I27" s="122"/>
      <c r="J27" s="122"/>
      <c r="K27" s="123">
        <f>AF40</f>
        <v>1035</v>
      </c>
      <c r="L27" s="103">
        <f>K27/E27</f>
        <v>1.2420049680198719</v>
      </c>
      <c r="M27" s="91">
        <f t="shared" si="0"/>
        <v>11573.228111094262</v>
      </c>
      <c r="N27" s="92">
        <f t="shared" si="1"/>
        <v>10951.011545981666</v>
      </c>
      <c r="O27" s="93">
        <f t="shared" si="8"/>
        <v>10184.44073776295</v>
      </c>
      <c r="P27" s="124"/>
      <c r="Q27" s="138">
        <v>25</v>
      </c>
      <c r="R27" s="139">
        <v>1.5</v>
      </c>
      <c r="S27" s="113">
        <f t="shared" ca="1" si="6"/>
        <v>8600046.75</v>
      </c>
      <c r="T27" s="139">
        <v>847.46</v>
      </c>
      <c r="U27" s="144">
        <f ca="1">S27/T27</f>
        <v>0</v>
      </c>
      <c r="V27" s="132"/>
      <c r="W27" s="133"/>
      <c r="X27" s="133"/>
      <c r="Y27" s="214"/>
      <c r="Z27" s="131">
        <f>AH40</f>
        <v>1085</v>
      </c>
      <c r="AA27" s="269">
        <f>Z27/T27</f>
        <v>1.2802964151700376</v>
      </c>
      <c r="AB27" s="212">
        <f t="shared" si="3"/>
        <v>11930.034777720806</v>
      </c>
      <c r="AC27" s="213">
        <f t="shared" si="4"/>
        <v>11288.635058488504</v>
      </c>
      <c r="AD27" s="220">
        <f t="shared" si="5"/>
        <v>10498.430604394309</v>
      </c>
      <c r="AE27" s="72"/>
      <c r="AJ27" s="41"/>
    </row>
    <row r="28" spans="1:41" ht="28.5" customHeight="1">
      <c r="A28" s="170">
        <v>25</v>
      </c>
      <c r="B28" s="123">
        <v>25</v>
      </c>
      <c r="C28" s="123">
        <v>2</v>
      </c>
      <c r="D28" s="171">
        <f>F28*E28</f>
        <v>8500019.2420000006</v>
      </c>
      <c r="E28" s="171">
        <v>719.42</v>
      </c>
      <c r="F28" s="241">
        <v>11815.1</v>
      </c>
      <c r="G28" s="121"/>
      <c r="H28" s="122"/>
      <c r="I28" s="122"/>
      <c r="J28" s="122"/>
      <c r="K28" s="123">
        <f>AF40</f>
        <v>1035</v>
      </c>
      <c r="L28" s="103">
        <f>K28/E28</f>
        <v>1.4386589196853021</v>
      </c>
      <c r="M28" s="91">
        <f t="shared" si="0"/>
        <v>13405.68538797668</v>
      </c>
      <c r="N28" s="92">
        <f t="shared" si="1"/>
        <v>12684.949614429546</v>
      </c>
      <c r="O28" s="93">
        <f t="shared" si="8"/>
        <v>11797.003141419478</v>
      </c>
      <c r="P28" s="124"/>
      <c r="Q28" s="140">
        <v>25</v>
      </c>
      <c r="R28" s="141">
        <v>1.7</v>
      </c>
      <c r="S28" s="113">
        <f t="shared" si="6"/>
        <v>7800060.2199999988</v>
      </c>
      <c r="T28" s="141">
        <v>751.9</v>
      </c>
      <c r="U28" s="329">
        <v>10373.799999999999</v>
      </c>
      <c r="V28" s="142"/>
      <c r="W28" s="143"/>
      <c r="X28" s="143"/>
      <c r="Y28" s="164"/>
      <c r="Z28" s="135">
        <f>AG40</f>
        <v>1035</v>
      </c>
      <c r="AA28" s="269">
        <f>Z28/T28</f>
        <v>1.3765128341534778</v>
      </c>
      <c r="AB28" s="212">
        <f t="shared" si="3"/>
        <v>12826.596863702862</v>
      </c>
      <c r="AC28" s="213">
        <f t="shared" si="4"/>
        <v>12136.994881783352</v>
      </c>
      <c r="AD28" s="220">
        <f t="shared" si="5"/>
        <v>11287.405240058519</v>
      </c>
      <c r="AE28" s="72"/>
      <c r="AJ28" s="41"/>
    </row>
    <row r="29" spans="1:41" ht="28.5" customHeight="1" thickBot="1">
      <c r="A29" s="98">
        <v>30</v>
      </c>
      <c r="B29" s="99">
        <v>20</v>
      </c>
      <c r="C29" s="99">
        <v>1.2</v>
      </c>
      <c r="D29" s="100">
        <f>F29*E29</f>
        <v>8400086.7559999991</v>
      </c>
      <c r="E29" s="100">
        <v>1136.3599999999999</v>
      </c>
      <c r="F29" s="241">
        <v>7392.1</v>
      </c>
      <c r="G29" s="101">
        <f>AF46</f>
        <v>0.98</v>
      </c>
      <c r="H29" s="102">
        <f>$AG$46</f>
        <v>8100</v>
      </c>
      <c r="I29" s="102">
        <f>AH46</f>
        <v>115</v>
      </c>
      <c r="J29" s="102">
        <f>D29*G29/H29+I29</f>
        <v>1131.3067927012344</v>
      </c>
      <c r="K29" s="109"/>
      <c r="L29" s="103">
        <f>J29/E29</f>
        <v>0.995553163347209</v>
      </c>
      <c r="M29" s="91">
        <f t="shared" ref="M29:M75" si="9">O29/0.88</f>
        <v>9276.7453857353557</v>
      </c>
      <c r="N29" s="92">
        <f t="shared" ref="N29:N41" si="10">O29/0.93</f>
        <v>8777.9956338141001</v>
      </c>
      <c r="O29" s="93">
        <f>L29*$AG$17</f>
        <v>8163.5359394471134</v>
      </c>
      <c r="P29" s="124"/>
      <c r="Q29" s="169" t="s">
        <v>111</v>
      </c>
      <c r="R29" s="167">
        <v>1.7</v>
      </c>
      <c r="S29" s="166">
        <f>U29*T29</f>
        <v>8400001.2300000004</v>
      </c>
      <c r="T29" s="167">
        <v>751.9</v>
      </c>
      <c r="U29" s="144">
        <v>11171.7</v>
      </c>
      <c r="V29" s="253"/>
      <c r="W29" s="168"/>
      <c r="X29" s="168"/>
      <c r="Y29" s="254">
        <v>1000</v>
      </c>
      <c r="Z29" s="144">
        <f>AI41</f>
        <v>0</v>
      </c>
      <c r="AA29" s="269">
        <f>Z29/T29</f>
        <v>0</v>
      </c>
      <c r="AB29" s="212">
        <f>AD29/0.88</f>
        <v>0</v>
      </c>
      <c r="AC29" s="213">
        <f>AD29/0.93</f>
        <v>0</v>
      </c>
      <c r="AD29" s="220">
        <f>AA29*$AG$17</f>
        <v>0</v>
      </c>
      <c r="AE29" s="72"/>
      <c r="AJ29" s="41"/>
    </row>
    <row r="30" spans="1:41" ht="23.25" customHeight="1">
      <c r="A30" s="104">
        <v>30</v>
      </c>
      <c r="B30" s="105">
        <v>20</v>
      </c>
      <c r="C30" s="105">
        <v>1.5</v>
      </c>
      <c r="D30" s="106"/>
      <c r="E30" s="106">
        <v>925.9</v>
      </c>
      <c r="F30" s="120">
        <f>D30/E30</f>
        <v>0</v>
      </c>
      <c r="G30" s="107"/>
      <c r="H30" s="108"/>
      <c r="I30" s="108"/>
      <c r="J30" s="109"/>
      <c r="K30" s="108">
        <f>AH40</f>
        <v>1085</v>
      </c>
      <c r="L30" s="103">
        <f>K30/E30</f>
        <v>1.1718328113187169</v>
      </c>
      <c r="M30" s="91">
        <f t="shared" si="9"/>
        <v>10919.351196378951</v>
      </c>
      <c r="N30" s="92">
        <f t="shared" si="10"/>
        <v>10332.289304100514</v>
      </c>
      <c r="O30" s="93">
        <f t="shared" si="8"/>
        <v>9609.0290528134774</v>
      </c>
      <c r="P30" s="124"/>
      <c r="Q30" s="140">
        <v>25</v>
      </c>
      <c r="R30" s="141" t="s">
        <v>7</v>
      </c>
      <c r="S30" s="113">
        <f t="shared" si="6"/>
        <v>7700038.5</v>
      </c>
      <c r="T30" s="141">
        <v>613.5</v>
      </c>
      <c r="U30" s="329">
        <v>12551</v>
      </c>
      <c r="V30" s="142"/>
      <c r="W30" s="143"/>
      <c r="X30" s="143"/>
      <c r="Y30" s="164">
        <v>830</v>
      </c>
      <c r="Z30" s="135">
        <f>Z28</f>
        <v>1035</v>
      </c>
      <c r="AA30" s="269">
        <f>Z30/T30</f>
        <v>1.6870415647921759</v>
      </c>
      <c r="AB30" s="212">
        <f>AD30/0.88</f>
        <v>15720.160035563458</v>
      </c>
      <c r="AC30" s="213">
        <f>AD30/0.93</f>
        <v>14874.990141178325</v>
      </c>
      <c r="AD30" s="220">
        <f>AA30*$AG$17</f>
        <v>13833.740831295843</v>
      </c>
      <c r="AE30" s="72"/>
      <c r="AI30" s="57" t="s">
        <v>53</v>
      </c>
      <c r="AJ30" s="41"/>
      <c r="AK30" s="9"/>
      <c r="AL30" s="9"/>
      <c r="AM30" s="9"/>
      <c r="AN30" s="9"/>
      <c r="AO30" s="9"/>
    </row>
    <row r="31" spans="1:41" ht="26.25" customHeight="1" thickBot="1">
      <c r="A31" s="170">
        <v>30</v>
      </c>
      <c r="B31" s="123">
        <v>20</v>
      </c>
      <c r="C31" s="123">
        <v>1.7</v>
      </c>
      <c r="D31" s="171">
        <f>E31*F31</f>
        <v>8000301.3320000004</v>
      </c>
      <c r="E31" s="171">
        <v>833.33</v>
      </c>
      <c r="F31" s="241">
        <v>9600.4</v>
      </c>
      <c r="G31" s="121"/>
      <c r="H31" s="122"/>
      <c r="I31" s="122"/>
      <c r="J31" s="122"/>
      <c r="K31" s="123">
        <f>K32</f>
        <v>1035</v>
      </c>
      <c r="L31" s="103">
        <f>K31/E31</f>
        <v>1.2420049680198719</v>
      </c>
      <c r="M31" s="91">
        <f t="shared" si="9"/>
        <v>11573.228111094262</v>
      </c>
      <c r="N31" s="92">
        <f t="shared" si="10"/>
        <v>10951.011545981666</v>
      </c>
      <c r="O31" s="93">
        <f t="shared" si="8"/>
        <v>10184.44073776295</v>
      </c>
      <c r="P31" s="124"/>
      <c r="Q31" s="125" t="s">
        <v>93</v>
      </c>
      <c r="R31" s="126">
        <v>2.5</v>
      </c>
      <c r="S31" s="307"/>
      <c r="T31" s="126">
        <v>523.55999999999995</v>
      </c>
      <c r="U31" s="114"/>
      <c r="V31" s="127"/>
      <c r="W31" s="128"/>
      <c r="X31" s="128"/>
      <c r="Y31" s="304">
        <v>1035</v>
      </c>
      <c r="Z31" s="114">
        <v>1130</v>
      </c>
      <c r="AA31" s="269">
        <f>Z31/T31</f>
        <v>2.1583008633203455</v>
      </c>
      <c r="AB31" s="212">
        <f>AD31/0.88</f>
        <v>20111.439862757765</v>
      </c>
      <c r="AC31" s="213">
        <f>AD31/0.93</f>
        <v>19030.179655082615</v>
      </c>
      <c r="AD31" s="220">
        <f>AA31*$AG$17</f>
        <v>17698.067079226832</v>
      </c>
      <c r="AE31" s="72"/>
      <c r="AI31" s="58">
        <v>810</v>
      </c>
      <c r="AJ31" s="41"/>
      <c r="AK31" s="9"/>
      <c r="AL31" s="9"/>
      <c r="AM31" s="9"/>
      <c r="AN31" s="9"/>
      <c r="AO31" s="9"/>
    </row>
    <row r="32" spans="1:41" ht="24" customHeight="1">
      <c r="A32" s="170">
        <v>30</v>
      </c>
      <c r="B32" s="123">
        <v>20</v>
      </c>
      <c r="C32" s="123">
        <v>2</v>
      </c>
      <c r="D32" s="171">
        <f>E32*F32</f>
        <v>8000015.7599999998</v>
      </c>
      <c r="E32" s="171">
        <v>719.4</v>
      </c>
      <c r="F32" s="241">
        <v>11120.4</v>
      </c>
      <c r="G32" s="121"/>
      <c r="H32" s="122"/>
      <c r="I32" s="122"/>
      <c r="J32" s="122"/>
      <c r="K32" s="123">
        <f>AF40</f>
        <v>1035</v>
      </c>
      <c r="L32" s="103">
        <f>K32/E32</f>
        <v>1.438698915763136</v>
      </c>
      <c r="M32" s="91">
        <f t="shared" si="9"/>
        <v>13406.058078701948</v>
      </c>
      <c r="N32" s="92">
        <f t="shared" si="10"/>
        <v>12685.302268019048</v>
      </c>
      <c r="O32" s="93">
        <f t="shared" si="8"/>
        <v>11797.331109257715</v>
      </c>
      <c r="P32" s="124"/>
      <c r="Q32" s="111">
        <v>25</v>
      </c>
      <c r="R32" s="112" t="s">
        <v>9</v>
      </c>
      <c r="S32" s="113">
        <f t="shared" ref="S32:S44" si="11">U32*T32</f>
        <v>7600026.7999999998</v>
      </c>
      <c r="T32" s="112">
        <v>418.4</v>
      </c>
      <c r="U32" s="329">
        <v>18164.5</v>
      </c>
      <c r="V32" s="115">
        <f>$AF$46</f>
        <v>0.98</v>
      </c>
      <c r="W32" s="137">
        <f>$AG$46</f>
        <v>8100</v>
      </c>
      <c r="X32" s="137">
        <f>X26</f>
        <v>130</v>
      </c>
      <c r="Y32" s="163">
        <f>S32*V32/W32+X32</f>
        <v>1049.509415308642</v>
      </c>
      <c r="Z32" s="116"/>
      <c r="AA32" s="269">
        <f>Y32/T32</f>
        <v>2.5083877038925482</v>
      </c>
      <c r="AB32" s="212">
        <f t="shared" si="3"/>
        <v>23373.612695362379</v>
      </c>
      <c r="AC32" s="213">
        <f>AD32/0.93</f>
        <v>22116.966851525693</v>
      </c>
      <c r="AD32" s="220">
        <f t="shared" si="5"/>
        <v>20568.779171918894</v>
      </c>
      <c r="AE32" s="72"/>
      <c r="AI32" s="75"/>
      <c r="AJ32" s="41"/>
      <c r="AK32" s="9"/>
      <c r="AL32" s="9"/>
      <c r="AM32" s="9"/>
      <c r="AN32" s="9"/>
      <c r="AO32" s="9"/>
    </row>
    <row r="33" spans="1:118" ht="22.5">
      <c r="A33" s="98">
        <v>30</v>
      </c>
      <c r="B33" s="99">
        <v>30</v>
      </c>
      <c r="C33" s="99" t="s">
        <v>4</v>
      </c>
      <c r="D33" s="100">
        <f>F33*E33</f>
        <v>8300089.1399999997</v>
      </c>
      <c r="E33" s="100">
        <v>934.6</v>
      </c>
      <c r="F33" s="241">
        <v>8880.9</v>
      </c>
      <c r="G33" s="101">
        <f>AF46</f>
        <v>0.98</v>
      </c>
      <c r="H33" s="102">
        <f>$AG$46</f>
        <v>8100</v>
      </c>
      <c r="I33" s="102">
        <f>AH46</f>
        <v>115</v>
      </c>
      <c r="J33" s="102">
        <f>D33*G33/H33+I33</f>
        <v>1119.2083157037036</v>
      </c>
      <c r="K33" s="109"/>
      <c r="L33" s="103">
        <f>J33/E33</f>
        <v>1.1975265522188141</v>
      </c>
      <c r="M33" s="91">
        <f t="shared" si="9"/>
        <v>11158.770145675313</v>
      </c>
      <c r="N33" s="92">
        <f t="shared" si="10"/>
        <v>10558.836266875564</v>
      </c>
      <c r="O33" s="93">
        <f t="shared" si="8"/>
        <v>9819.717728194275</v>
      </c>
      <c r="P33" s="124"/>
      <c r="Q33" s="111">
        <v>25</v>
      </c>
      <c r="R33" s="112">
        <v>3.5</v>
      </c>
      <c r="S33" s="113">
        <v>8350000</v>
      </c>
      <c r="T33" s="112">
        <v>386.1</v>
      </c>
      <c r="U33" s="329">
        <v>19684.099999999999</v>
      </c>
      <c r="V33" s="115">
        <f>$AF$46</f>
        <v>0.98</v>
      </c>
      <c r="W33" s="137">
        <f>$AG$46</f>
        <v>8100</v>
      </c>
      <c r="X33" s="137">
        <f>AH46+15</f>
        <v>130</v>
      </c>
      <c r="Y33" s="163">
        <f>S33*V33/W33+X33</f>
        <v>1140.2469135802469</v>
      </c>
      <c r="Z33" s="116"/>
      <c r="AA33" s="269">
        <f>Y33/T33</f>
        <v>2.9532424594152986</v>
      </c>
      <c r="AB33" s="212">
        <f>AD33/0.88</f>
        <v>27518.850190006193</v>
      </c>
      <c r="AC33" s="213">
        <f>AD33/0.93</f>
        <v>26039.342115274674</v>
      </c>
      <c r="AD33" s="220">
        <f>AA33*$AG$17</f>
        <v>24216.588167205449</v>
      </c>
      <c r="AE33" s="72"/>
      <c r="AI33" s="75"/>
      <c r="AJ33" s="41"/>
      <c r="AK33" s="9"/>
      <c r="AL33" s="9"/>
      <c r="AM33" s="9"/>
      <c r="AN33" s="9"/>
      <c r="AO33" s="9"/>
    </row>
    <row r="34" spans="1:118" ht="20.25">
      <c r="A34" s="145" t="s">
        <v>57</v>
      </c>
      <c r="B34" s="146">
        <v>30</v>
      </c>
      <c r="C34" s="146">
        <v>1.5</v>
      </c>
      <c r="D34" s="147"/>
      <c r="E34" s="147">
        <v>763.36</v>
      </c>
      <c r="F34" s="147"/>
      <c r="G34" s="148"/>
      <c r="H34" s="149"/>
      <c r="I34" s="149"/>
      <c r="J34" s="304">
        <v>1035</v>
      </c>
      <c r="K34" s="304">
        <v>1115</v>
      </c>
      <c r="L34" s="103">
        <f t="shared" ref="L34:L41" si="12">K34/E34</f>
        <v>1.4606476629637393</v>
      </c>
      <c r="M34" s="91">
        <f t="shared" si="9"/>
        <v>13610.58049579848</v>
      </c>
      <c r="N34" s="92">
        <f t="shared" si="10"/>
        <v>12878.828856239421</v>
      </c>
      <c r="O34" s="93">
        <f t="shared" si="8"/>
        <v>11977.310836302662</v>
      </c>
      <c r="P34" s="124"/>
      <c r="Q34" s="129">
        <v>32</v>
      </c>
      <c r="R34" s="130">
        <v>1.5</v>
      </c>
      <c r="S34" s="113">
        <f t="shared" ca="1" si="11"/>
        <v>8600046.75</v>
      </c>
      <c r="T34" s="130">
        <v>662.25</v>
      </c>
      <c r="U34" s="144">
        <f ca="1">S34/T34</f>
        <v>0</v>
      </c>
      <c r="V34" s="132"/>
      <c r="W34" s="133"/>
      <c r="X34" s="133"/>
      <c r="Y34" s="214"/>
      <c r="Z34" s="131">
        <f>AH40-0</f>
        <v>1085</v>
      </c>
      <c r="AA34" s="269">
        <f>Z34/T34</f>
        <v>1.6383540958852396</v>
      </c>
      <c r="AB34" s="212">
        <f t="shared" si="3"/>
        <v>15266.481348021551</v>
      </c>
      <c r="AC34" s="213">
        <f t="shared" si="4"/>
        <v>14445.702780923617</v>
      </c>
      <c r="AD34" s="220">
        <f t="shared" si="5"/>
        <v>13434.503586258965</v>
      </c>
      <c r="AE34" s="72"/>
      <c r="AI34" s="18"/>
      <c r="AJ34" s="18"/>
      <c r="AK34" s="9"/>
      <c r="AL34" s="9"/>
      <c r="AM34" s="9"/>
      <c r="AN34" s="9"/>
      <c r="AO34" s="9"/>
    </row>
    <row r="35" spans="1:118" ht="23.25" customHeight="1">
      <c r="A35" s="104">
        <v>30</v>
      </c>
      <c r="B35" s="105">
        <v>30</v>
      </c>
      <c r="C35" s="105">
        <v>1.5</v>
      </c>
      <c r="D35" s="106"/>
      <c r="E35" s="106">
        <v>763.36</v>
      </c>
      <c r="F35" s="120">
        <f>D35/E35</f>
        <v>0</v>
      </c>
      <c r="G35" s="107"/>
      <c r="H35" s="108"/>
      <c r="I35" s="108"/>
      <c r="J35" s="109"/>
      <c r="K35" s="110">
        <f>AH40</f>
        <v>1085</v>
      </c>
      <c r="L35" s="103">
        <f t="shared" si="12"/>
        <v>1.4213477258436387</v>
      </c>
      <c r="M35" s="91">
        <f t="shared" si="9"/>
        <v>13244.376536270269</v>
      </c>
      <c r="N35" s="92">
        <f t="shared" si="10"/>
        <v>12532.313281632081</v>
      </c>
      <c r="O35" s="93">
        <f t="shared" si="8"/>
        <v>11655.051351917837</v>
      </c>
      <c r="P35" s="124"/>
      <c r="Q35" s="125" t="s">
        <v>65</v>
      </c>
      <c r="R35" s="126">
        <v>1.7</v>
      </c>
      <c r="S35" s="307">
        <f t="shared" si="11"/>
        <v>0</v>
      </c>
      <c r="T35" s="126">
        <v>588.20000000000005</v>
      </c>
      <c r="U35" s="114"/>
      <c r="V35" s="127"/>
      <c r="W35" s="128"/>
      <c r="X35" s="128"/>
      <c r="Y35" s="114">
        <v>1000</v>
      </c>
      <c r="Z35" s="165">
        <v>1065</v>
      </c>
      <c r="AA35" s="269">
        <f>Z35/T35</f>
        <v>1.810608636518191</v>
      </c>
      <c r="AB35" s="212">
        <f t="shared" si="3"/>
        <v>16871.580476646781</v>
      </c>
      <c r="AC35" s="213">
        <f t="shared" si="4"/>
        <v>15964.506257472221</v>
      </c>
      <c r="AD35" s="220">
        <f t="shared" si="5"/>
        <v>14846.990819449167</v>
      </c>
      <c r="AE35" s="72"/>
      <c r="AI35" s="18"/>
      <c r="AJ35" s="18"/>
      <c r="AK35" s="9"/>
      <c r="AL35" s="9"/>
      <c r="AM35" s="9"/>
      <c r="AN35" s="9"/>
      <c r="AO35" s="9"/>
    </row>
    <row r="36" spans="1:118" ht="26.25" customHeight="1">
      <c r="A36" s="145" t="s">
        <v>71</v>
      </c>
      <c r="B36" s="146">
        <v>30</v>
      </c>
      <c r="C36" s="146">
        <v>1.7</v>
      </c>
      <c r="D36" s="147"/>
      <c r="E36" s="147">
        <v>680</v>
      </c>
      <c r="F36" s="147"/>
      <c r="G36" s="148"/>
      <c r="H36" s="149"/>
      <c r="I36" s="149"/>
      <c r="J36" s="304">
        <v>1000</v>
      </c>
      <c r="K36" s="304">
        <v>1075</v>
      </c>
      <c r="L36" s="275">
        <f t="shared" si="12"/>
        <v>1.5808823529411764</v>
      </c>
      <c r="M36" s="91">
        <f t="shared" si="9"/>
        <v>14730.949197860962</v>
      </c>
      <c r="N36" s="92">
        <f t="shared" si="10"/>
        <v>13938.962681846931</v>
      </c>
      <c r="O36" s="93">
        <f t="shared" si="8"/>
        <v>12963.235294117647</v>
      </c>
      <c r="P36" s="124"/>
      <c r="Q36" s="140">
        <v>32</v>
      </c>
      <c r="R36" s="141">
        <v>1.7</v>
      </c>
      <c r="S36" s="113">
        <f t="shared" si="11"/>
        <v>7800002.5600000005</v>
      </c>
      <c r="T36" s="141">
        <v>588.20000000000005</v>
      </c>
      <c r="U36" s="329">
        <v>13260.8</v>
      </c>
      <c r="V36" s="142"/>
      <c r="W36" s="143"/>
      <c r="X36" s="143"/>
      <c r="Y36" s="136"/>
      <c r="Z36" s="135">
        <f>Z37</f>
        <v>1035</v>
      </c>
      <c r="AA36" s="269">
        <f>Z36/T36</f>
        <v>1.7596055763345799</v>
      </c>
      <c r="AB36" s="212">
        <f t="shared" si="3"/>
        <v>16396.324688572222</v>
      </c>
      <c r="AC36" s="213">
        <f t="shared" si="4"/>
        <v>15514.801855853284</v>
      </c>
      <c r="AD36" s="220">
        <f t="shared" si="5"/>
        <v>14428.765725943555</v>
      </c>
      <c r="AE36" s="72"/>
      <c r="AK36" s="4"/>
      <c r="AL36" s="4"/>
      <c r="AM36" s="9"/>
      <c r="AN36" s="4"/>
      <c r="AO36" s="9"/>
    </row>
    <row r="37" spans="1:118" ht="26.25" customHeight="1">
      <c r="A37" s="206">
        <v>30</v>
      </c>
      <c r="B37" s="171">
        <v>30</v>
      </c>
      <c r="C37" s="171" t="s">
        <v>6</v>
      </c>
      <c r="D37" s="171">
        <f>E37*F37</f>
        <v>7800047.6799999997</v>
      </c>
      <c r="E37" s="171">
        <v>680.3</v>
      </c>
      <c r="F37" s="241">
        <v>11465.6</v>
      </c>
      <c r="G37" s="121"/>
      <c r="H37" s="122"/>
      <c r="I37" s="122"/>
      <c r="J37" s="122"/>
      <c r="K37" s="123">
        <f>AF40</f>
        <v>1035</v>
      </c>
      <c r="L37" s="103">
        <f t="shared" si="12"/>
        <v>1.5213876231074528</v>
      </c>
      <c r="M37" s="91">
        <f t="shared" si="9"/>
        <v>14176.566488046719</v>
      </c>
      <c r="N37" s="92">
        <f t="shared" si="10"/>
        <v>13414.385494065713</v>
      </c>
      <c r="O37" s="93">
        <f t="shared" si="8"/>
        <v>12475.378509481114</v>
      </c>
      <c r="P37" s="124"/>
      <c r="Q37" s="140">
        <v>32</v>
      </c>
      <c r="R37" s="141">
        <v>2.1</v>
      </c>
      <c r="S37" s="113">
        <f t="shared" si="11"/>
        <v>7700012</v>
      </c>
      <c r="T37" s="141">
        <v>480.8</v>
      </c>
      <c r="U37" s="329">
        <v>16015</v>
      </c>
      <c r="V37" s="142"/>
      <c r="W37" s="143"/>
      <c r="X37" s="143"/>
      <c r="Y37" s="136"/>
      <c r="Z37" s="135">
        <f>Z41</f>
        <v>1035</v>
      </c>
      <c r="AA37" s="269">
        <f>Z37/T37</f>
        <v>2.1526622296173046</v>
      </c>
      <c r="AB37" s="212">
        <f t="shared" si="3"/>
        <v>20058.898048706702</v>
      </c>
      <c r="AC37" s="213">
        <f t="shared" si="4"/>
        <v>18980.462669743974</v>
      </c>
      <c r="AD37" s="220">
        <f t="shared" si="5"/>
        <v>17651.830282861898</v>
      </c>
      <c r="AE37" s="72"/>
      <c r="AI37" s="19"/>
      <c r="AK37" s="4"/>
      <c r="AL37" s="4"/>
      <c r="AM37" s="9"/>
      <c r="AN37" s="4"/>
      <c r="AO37" s="9"/>
    </row>
    <row r="38" spans="1:118" ht="24.75" customHeight="1" thickBot="1">
      <c r="A38" s="207">
        <v>30</v>
      </c>
      <c r="B38" s="208">
        <v>30</v>
      </c>
      <c r="C38" s="208">
        <v>2</v>
      </c>
      <c r="D38" s="171">
        <f>E38*F38</f>
        <v>7700008.5600000005</v>
      </c>
      <c r="E38" s="171">
        <v>588.20000000000005</v>
      </c>
      <c r="F38" s="241">
        <v>13090.8</v>
      </c>
      <c r="G38" s="121"/>
      <c r="H38" s="122"/>
      <c r="I38" s="122"/>
      <c r="J38" s="122"/>
      <c r="K38" s="123">
        <f>AF40</f>
        <v>1035</v>
      </c>
      <c r="L38" s="103">
        <f t="shared" si="12"/>
        <v>1.7596055763345799</v>
      </c>
      <c r="M38" s="91">
        <f t="shared" si="9"/>
        <v>16396.324688572222</v>
      </c>
      <c r="N38" s="92">
        <f t="shared" si="10"/>
        <v>15514.801855853284</v>
      </c>
      <c r="O38" s="93">
        <f t="shared" si="8"/>
        <v>14428.765725943555</v>
      </c>
      <c r="P38" s="124"/>
      <c r="Q38" s="111">
        <v>32</v>
      </c>
      <c r="R38" s="112">
        <v>3</v>
      </c>
      <c r="S38" s="113">
        <f t="shared" si="11"/>
        <v>7600019.6800000006</v>
      </c>
      <c r="T38" s="112">
        <v>343.6</v>
      </c>
      <c r="U38" s="329">
        <v>22118.799999999999</v>
      </c>
      <c r="V38" s="112">
        <f>$AF$51</f>
        <v>0.98</v>
      </c>
      <c r="W38" s="137">
        <f>W32</f>
        <v>8100</v>
      </c>
      <c r="X38" s="137">
        <f>AH46</f>
        <v>115</v>
      </c>
      <c r="Y38" s="163">
        <f>S38*V38/W38+X38</f>
        <v>1034.5085538765434</v>
      </c>
      <c r="Z38" s="116"/>
      <c r="AA38" s="269">
        <f>Y38/T38</f>
        <v>3.0107932301412785</v>
      </c>
      <c r="AB38" s="212">
        <f t="shared" si="3"/>
        <v>28055.118735407366</v>
      </c>
      <c r="AC38" s="213">
        <f t="shared" si="4"/>
        <v>26546.779018449979</v>
      </c>
      <c r="AD38" s="220">
        <f t="shared" si="5"/>
        <v>24688.504487158483</v>
      </c>
      <c r="AE38" s="72"/>
      <c r="AF38" s="41">
        <v>920</v>
      </c>
      <c r="AG38" s="41">
        <v>920</v>
      </c>
      <c r="AH38" s="41">
        <v>970</v>
      </c>
      <c r="AK38" s="39"/>
      <c r="AL38" s="4"/>
      <c r="AM38" s="9"/>
      <c r="AN38" s="4"/>
      <c r="AO38" s="338"/>
    </row>
    <row r="39" spans="1:118" s="45" customFormat="1" ht="24.75" customHeight="1" thickBot="1">
      <c r="A39" s="154">
        <v>35</v>
      </c>
      <c r="B39" s="155">
        <v>35</v>
      </c>
      <c r="C39" s="156">
        <v>1.5</v>
      </c>
      <c r="D39" s="106"/>
      <c r="E39" s="106">
        <v>645</v>
      </c>
      <c r="F39" s="120">
        <f>D39/E39</f>
        <v>0</v>
      </c>
      <c r="G39" s="107"/>
      <c r="H39" s="108"/>
      <c r="I39" s="108"/>
      <c r="J39" s="109"/>
      <c r="K39" s="105">
        <f>AH40</f>
        <v>1085</v>
      </c>
      <c r="L39" s="103">
        <f t="shared" si="12"/>
        <v>1.682170542635659</v>
      </c>
      <c r="M39" s="91">
        <f t="shared" si="9"/>
        <v>15674.770965468642</v>
      </c>
      <c r="N39" s="92">
        <f t="shared" si="10"/>
        <v>14832.041343669251</v>
      </c>
      <c r="O39" s="93">
        <f t="shared" si="8"/>
        <v>13793.798449612405</v>
      </c>
      <c r="P39" s="124"/>
      <c r="Q39" s="111">
        <v>32</v>
      </c>
      <c r="R39" s="112" t="s">
        <v>9</v>
      </c>
      <c r="S39" s="113">
        <f t="shared" si="11"/>
        <v>7600004.8799999999</v>
      </c>
      <c r="T39" s="112">
        <v>323.60000000000002</v>
      </c>
      <c r="U39" s="329">
        <v>23485.8</v>
      </c>
      <c r="V39" s="112">
        <f>$AF$51</f>
        <v>0.98</v>
      </c>
      <c r="W39" s="137">
        <f>AG46</f>
        <v>8100</v>
      </c>
      <c r="X39" s="137">
        <f>AH46+15</f>
        <v>130</v>
      </c>
      <c r="Y39" s="163">
        <f>S39*V39/W39+X39</f>
        <v>1049.5067632592593</v>
      </c>
      <c r="Z39" s="116"/>
      <c r="AA39" s="269">
        <f>Y39/T39</f>
        <v>3.2432223833722471</v>
      </c>
      <c r="AB39" s="212">
        <f t="shared" si="3"/>
        <v>30220.935845059576</v>
      </c>
      <c r="AC39" s="213">
        <f>AD39/0.95</f>
        <v>27994.130045949922</v>
      </c>
      <c r="AD39" s="220">
        <f t="shared" si="5"/>
        <v>26594.423543652425</v>
      </c>
      <c r="AE39" s="74"/>
      <c r="AF39" s="78" t="s">
        <v>75</v>
      </c>
      <c r="AG39" s="80" t="s">
        <v>119</v>
      </c>
      <c r="AH39" s="76" t="s">
        <v>120</v>
      </c>
      <c r="AI39" s="82" t="s">
        <v>121</v>
      </c>
      <c r="AJ39" s="406"/>
      <c r="AK39" s="19"/>
      <c r="AL39" s="406"/>
      <c r="AM39" s="406"/>
      <c r="AN39" s="20"/>
      <c r="AO39" s="19"/>
      <c r="AP39" s="397"/>
      <c r="AQ39" s="397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</row>
    <row r="40" spans="1:118" s="45" customFormat="1" ht="24.75" customHeight="1" thickBot="1">
      <c r="A40" s="207">
        <v>35</v>
      </c>
      <c r="B40" s="208">
        <v>35</v>
      </c>
      <c r="C40" s="209">
        <v>1.7</v>
      </c>
      <c r="D40" s="171">
        <v>8350000</v>
      </c>
      <c r="E40" s="171">
        <v>574</v>
      </c>
      <c r="F40" s="120">
        <f>D40/E40</f>
        <v>14547.038327526132</v>
      </c>
      <c r="G40" s="121"/>
      <c r="H40" s="122"/>
      <c r="I40" s="122"/>
      <c r="J40" s="122"/>
      <c r="K40" s="123">
        <f>AF40</f>
        <v>1035</v>
      </c>
      <c r="L40" s="276">
        <f t="shared" si="12"/>
        <v>1.8031358885017421</v>
      </c>
      <c r="M40" s="91">
        <f t="shared" si="9"/>
        <v>16801.948051948049</v>
      </c>
      <c r="N40" s="92">
        <f t="shared" si="10"/>
        <v>15898.617511520735</v>
      </c>
      <c r="O40" s="93">
        <f t="shared" si="8"/>
        <v>14785.714285714284</v>
      </c>
      <c r="P40" s="124"/>
      <c r="Q40" s="129">
        <v>40</v>
      </c>
      <c r="R40" s="130">
        <v>1.5</v>
      </c>
      <c r="S40" s="113">
        <f t="shared" ca="1" si="11"/>
        <v>8600046.75</v>
      </c>
      <c r="T40" s="130">
        <v>581.4</v>
      </c>
      <c r="U40" s="144">
        <f ca="1">S40/T40</f>
        <v>0</v>
      </c>
      <c r="V40" s="132"/>
      <c r="W40" s="133"/>
      <c r="X40" s="133"/>
      <c r="Y40" s="214"/>
      <c r="Z40" s="131">
        <f>AH40</f>
        <v>1085</v>
      </c>
      <c r="AA40" s="269">
        <f>Z40/T40</f>
        <v>1.8661850705194358</v>
      </c>
      <c r="AB40" s="212">
        <f t="shared" si="3"/>
        <v>17389.451793476561</v>
      </c>
      <c r="AC40" s="213">
        <f t="shared" si="4"/>
        <v>16454.535030386422</v>
      </c>
      <c r="AD40" s="220">
        <f t="shared" ref="AD40:AD67" si="13">AA40*$AG$17</f>
        <v>15302.717578259373</v>
      </c>
      <c r="AE40" s="74"/>
      <c r="AF40" s="79">
        <v>1035</v>
      </c>
      <c r="AG40" s="81">
        <v>1035</v>
      </c>
      <c r="AH40" s="77">
        <v>1085</v>
      </c>
      <c r="AI40" s="82" t="s">
        <v>112</v>
      </c>
      <c r="AJ40" s="406"/>
      <c r="AK40" s="19"/>
      <c r="AL40" s="406"/>
      <c r="AM40" s="406"/>
      <c r="AN40" s="20"/>
      <c r="AO40" s="19"/>
      <c r="AP40" s="397"/>
      <c r="AQ40" s="397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</row>
    <row r="41" spans="1:118" ht="25.5">
      <c r="A41" s="154">
        <v>35</v>
      </c>
      <c r="B41" s="155">
        <v>55</v>
      </c>
      <c r="C41" s="156">
        <v>1.5</v>
      </c>
      <c r="D41" s="106"/>
      <c r="E41" s="106">
        <v>495.5</v>
      </c>
      <c r="F41" s="120"/>
      <c r="G41" s="107"/>
      <c r="H41" s="108"/>
      <c r="I41" s="108"/>
      <c r="J41" s="108"/>
      <c r="K41" s="105">
        <f>AH40</f>
        <v>1085</v>
      </c>
      <c r="L41" s="276">
        <f t="shared" si="12"/>
        <v>2.1897073662966702</v>
      </c>
      <c r="M41" s="91">
        <f t="shared" si="9"/>
        <v>20404.091367764428</v>
      </c>
      <c r="N41" s="92">
        <f t="shared" si="10"/>
        <v>19307.0972082072</v>
      </c>
      <c r="O41" s="93">
        <f t="shared" si="8"/>
        <v>17955.600403632696</v>
      </c>
      <c r="P41" s="124"/>
      <c r="Q41" s="140">
        <v>40</v>
      </c>
      <c r="R41" s="141">
        <v>1.7</v>
      </c>
      <c r="S41" s="113">
        <f t="shared" si="11"/>
        <v>7800024.96</v>
      </c>
      <c r="T41" s="141">
        <v>515.20000000000005</v>
      </c>
      <c r="U41" s="329">
        <v>15139.8</v>
      </c>
      <c r="V41" s="142"/>
      <c r="W41" s="143"/>
      <c r="X41" s="143"/>
      <c r="Y41" s="136"/>
      <c r="Z41" s="135">
        <f>Z42</f>
        <v>1035</v>
      </c>
      <c r="AA41" s="269">
        <f>Z41/T41</f>
        <v>2.0089285714285712</v>
      </c>
      <c r="AB41" s="212">
        <f t="shared" si="3"/>
        <v>18719.561688311685</v>
      </c>
      <c r="AC41" s="213">
        <f t="shared" si="4"/>
        <v>17713.133640552991</v>
      </c>
      <c r="AD41" s="220">
        <f t="shared" si="13"/>
        <v>16473.214285714283</v>
      </c>
      <c r="AE41" s="72"/>
      <c r="AF41" s="41">
        <v>970</v>
      </c>
      <c r="AG41" s="336">
        <v>970</v>
      </c>
      <c r="AH41" s="18">
        <v>1020</v>
      </c>
      <c r="AI41" s="83"/>
      <c r="AJ41" s="406"/>
      <c r="AK41" s="41"/>
      <c r="AL41" s="406"/>
      <c r="AM41" s="406"/>
      <c r="AN41" s="20"/>
      <c r="AO41" s="41"/>
      <c r="AP41" s="397"/>
      <c r="AQ41" s="397"/>
    </row>
    <row r="42" spans="1:118" ht="21" customHeight="1">
      <c r="A42" s="207">
        <v>35</v>
      </c>
      <c r="B42" s="208">
        <v>55</v>
      </c>
      <c r="C42" s="209" t="s">
        <v>6</v>
      </c>
      <c r="D42" s="171">
        <v>8200000</v>
      </c>
      <c r="E42" s="171">
        <v>440.53</v>
      </c>
      <c r="F42" s="120">
        <f>D42/E42</f>
        <v>18613.942296778881</v>
      </c>
      <c r="G42" s="121"/>
      <c r="H42" s="122"/>
      <c r="I42" s="122"/>
      <c r="J42" s="122"/>
      <c r="K42" s="123">
        <f>AF40</f>
        <v>1035</v>
      </c>
      <c r="L42" s="103">
        <f>K42/E42</f>
        <v>2.3494427167275784</v>
      </c>
      <c r="M42" s="91">
        <f t="shared" si="9"/>
        <v>21892.534405870618</v>
      </c>
      <c r="N42" s="92">
        <f t="shared" ref="N42:N53" si="14">O42/0.93</f>
        <v>20715.516427060367</v>
      </c>
      <c r="O42" s="93">
        <f t="shared" ref="O42:O53" si="15">L42*$AG$17</f>
        <v>19265.430277166142</v>
      </c>
      <c r="P42" s="124"/>
      <c r="Q42" s="140">
        <v>40</v>
      </c>
      <c r="R42" s="141" t="s">
        <v>7</v>
      </c>
      <c r="S42" s="113">
        <f t="shared" si="11"/>
        <v>7700038.9400000004</v>
      </c>
      <c r="T42" s="141">
        <v>420.2</v>
      </c>
      <c r="U42" s="329">
        <v>18324.7</v>
      </c>
      <c r="V42" s="142"/>
      <c r="W42" s="143"/>
      <c r="X42" s="143"/>
      <c r="Y42" s="136"/>
      <c r="Z42" s="135">
        <f>AG40</f>
        <v>1035</v>
      </c>
      <c r="AA42" s="269">
        <f>Z42/T42</f>
        <v>2.4631128034269398</v>
      </c>
      <c r="AB42" s="212">
        <f t="shared" si="3"/>
        <v>22951.732941023758</v>
      </c>
      <c r="AC42" s="213">
        <f t="shared" si="4"/>
        <v>21717.768804409578</v>
      </c>
      <c r="AD42" s="220">
        <f>AA42*$AG$17</f>
        <v>20197.524988100908</v>
      </c>
      <c r="AE42" s="72"/>
      <c r="AF42" s="41"/>
      <c r="AG42" s="37"/>
      <c r="AH42" s="18"/>
      <c r="AI42" s="41"/>
      <c r="AJ42" s="37"/>
      <c r="AK42" s="41"/>
      <c r="AL42" s="37"/>
      <c r="AM42" s="37"/>
      <c r="AN42" s="20"/>
      <c r="AO42" s="41"/>
      <c r="AP42" s="44"/>
      <c r="AQ42" s="75"/>
    </row>
    <row r="43" spans="1:118" ht="21" customHeight="1">
      <c r="A43" s="207"/>
      <c r="B43" s="208"/>
      <c r="C43" s="209"/>
      <c r="D43" s="171"/>
      <c r="E43" s="171"/>
      <c r="F43" s="120"/>
      <c r="G43" s="121"/>
      <c r="H43" s="122"/>
      <c r="I43" s="122"/>
      <c r="J43" s="122"/>
      <c r="K43" s="123"/>
      <c r="L43" s="103"/>
      <c r="M43" s="91"/>
      <c r="N43" s="92"/>
      <c r="O43" s="93"/>
      <c r="P43" s="124"/>
      <c r="Q43" s="111">
        <v>40</v>
      </c>
      <c r="R43" s="112">
        <v>2.5</v>
      </c>
      <c r="S43" s="113">
        <v>7600000</v>
      </c>
      <c r="T43" s="112">
        <v>355.87</v>
      </c>
      <c r="U43" s="215">
        <f>S43/T43</f>
        <v>21356.113187399893</v>
      </c>
      <c r="V43" s="112">
        <f>$AF$51</f>
        <v>0.98</v>
      </c>
      <c r="W43" s="112">
        <f>$AG$51</f>
        <v>8100</v>
      </c>
      <c r="X43" s="137">
        <f>AH46+15</f>
        <v>130</v>
      </c>
      <c r="Y43" s="163">
        <f>S43*V43/W43+X43</f>
        <v>1049.5061728395062</v>
      </c>
      <c r="Z43" s="144"/>
      <c r="AA43" s="269">
        <f>Y43/T43</f>
        <v>2.9491279760572855</v>
      </c>
      <c r="AB43" s="212">
        <f t="shared" ref="AB43" si="16">AD43/0.88</f>
        <v>27480.510685988342</v>
      </c>
      <c r="AC43" s="213">
        <f t="shared" ref="AC43" si="17">AD43/0.93</f>
        <v>26003.0638749137</v>
      </c>
      <c r="AD43" s="220">
        <f t="shared" ref="AD43" si="18">AA43*$AG$17</f>
        <v>24182.849403669741</v>
      </c>
      <c r="AE43" s="72"/>
      <c r="AF43" s="41"/>
      <c r="AG43" s="315"/>
      <c r="AH43" s="18"/>
      <c r="AI43" s="41"/>
      <c r="AJ43" s="315"/>
      <c r="AK43" s="41"/>
      <c r="AL43" s="315"/>
      <c r="AM43" s="315"/>
      <c r="AN43" s="20"/>
      <c r="AO43" s="41"/>
      <c r="AP43" s="314"/>
      <c r="AQ43" s="75"/>
    </row>
    <row r="44" spans="1:118" ht="23.25" thickBot="1">
      <c r="A44" s="104">
        <v>30</v>
      </c>
      <c r="B44" s="105">
        <v>60</v>
      </c>
      <c r="C44" s="105">
        <v>1.5</v>
      </c>
      <c r="D44" s="105"/>
      <c r="E44" s="106">
        <v>495.05</v>
      </c>
      <c r="F44" s="120">
        <f>D44/E44</f>
        <v>0</v>
      </c>
      <c r="G44" s="107"/>
      <c r="H44" s="108"/>
      <c r="I44" s="108"/>
      <c r="J44" s="109"/>
      <c r="K44" s="108">
        <f>AH40</f>
        <v>1085</v>
      </c>
      <c r="L44" s="103">
        <f>K44/E44</f>
        <v>2.1916978083021919</v>
      </c>
      <c r="M44" s="91">
        <f t="shared" si="9"/>
        <v>20422.638668270425</v>
      </c>
      <c r="N44" s="92">
        <f t="shared" si="14"/>
        <v>19324.647342019325</v>
      </c>
      <c r="O44" s="93">
        <f t="shared" si="15"/>
        <v>17971.922028077974</v>
      </c>
      <c r="P44" s="124"/>
      <c r="Q44" s="111">
        <v>40</v>
      </c>
      <c r="R44" s="112" t="s">
        <v>9</v>
      </c>
      <c r="S44" s="113">
        <f t="shared" si="11"/>
        <v>7600012.75</v>
      </c>
      <c r="T44" s="112">
        <v>282.5</v>
      </c>
      <c r="U44" s="329">
        <v>26902.7</v>
      </c>
      <c r="V44" s="112">
        <f>$AF$51</f>
        <v>0.98</v>
      </c>
      <c r="W44" s="112">
        <f>$AG$51</f>
        <v>8100</v>
      </c>
      <c r="X44" s="137">
        <f>X43</f>
        <v>130</v>
      </c>
      <c r="Y44" s="163">
        <f>S44*V44/W44+X44</f>
        <v>1049.5077154320988</v>
      </c>
      <c r="Z44" s="116"/>
      <c r="AA44" s="269">
        <f>Y44/T44</f>
        <v>3.7150715590516774</v>
      </c>
      <c r="AB44" s="212">
        <f t="shared" si="3"/>
        <v>34617.712254799721</v>
      </c>
      <c r="AC44" s="213">
        <f t="shared" si="4"/>
        <v>32756.544929272852</v>
      </c>
      <c r="AD44" s="220">
        <f t="shared" si="13"/>
        <v>30463.586784223753</v>
      </c>
      <c r="AE44" s="72"/>
      <c r="AF44" s="41"/>
      <c r="AG44" s="18"/>
      <c r="AH44" s="18"/>
      <c r="AI44" s="18"/>
      <c r="AJ44" s="37"/>
      <c r="AK44" s="41"/>
      <c r="AL44" s="37"/>
      <c r="AM44" s="37"/>
      <c r="AN44" s="20"/>
      <c r="AO44" s="41"/>
      <c r="AP44" s="56"/>
      <c r="AQ44" s="56"/>
    </row>
    <row r="45" spans="1:118" ht="31.5" customHeight="1">
      <c r="A45" s="170">
        <v>30</v>
      </c>
      <c r="B45" s="123">
        <v>60</v>
      </c>
      <c r="C45" s="123">
        <v>1.7</v>
      </c>
      <c r="D45" s="171">
        <f>F45*E45</f>
        <v>7800024.1799999997</v>
      </c>
      <c r="E45" s="171">
        <v>440.53</v>
      </c>
      <c r="F45" s="241">
        <v>17706</v>
      </c>
      <c r="G45" s="121"/>
      <c r="H45" s="122"/>
      <c r="I45" s="122"/>
      <c r="J45" s="122"/>
      <c r="K45" s="122">
        <f>AF40</f>
        <v>1035</v>
      </c>
      <c r="L45" s="103">
        <f>K45/E45</f>
        <v>2.3494427167275784</v>
      </c>
      <c r="M45" s="91">
        <f t="shared" si="9"/>
        <v>21892.534405870618</v>
      </c>
      <c r="N45" s="92">
        <f t="shared" si="14"/>
        <v>20715.516427060367</v>
      </c>
      <c r="O45" s="93">
        <f t="shared" si="15"/>
        <v>19265.430277166142</v>
      </c>
      <c r="P45" s="124"/>
      <c r="Q45" s="169" t="s">
        <v>74</v>
      </c>
      <c r="R45" s="167">
        <v>1.5</v>
      </c>
      <c r="S45" s="166"/>
      <c r="T45" s="167">
        <v>549.45000000000005</v>
      </c>
      <c r="U45" s="144"/>
      <c r="V45" s="167"/>
      <c r="W45" s="167"/>
      <c r="X45" s="168"/>
      <c r="Y45" s="254">
        <v>1030</v>
      </c>
      <c r="Z45" s="144">
        <v>1185</v>
      </c>
      <c r="AA45" s="269">
        <f>Z45/T45</f>
        <v>2.1567021567021567</v>
      </c>
      <c r="AB45" s="212">
        <f>AD45/0.88</f>
        <v>20096.542823815551</v>
      </c>
      <c r="AC45" s="213">
        <f>AD45/0.93</f>
        <v>19016.083532212564</v>
      </c>
      <c r="AD45" s="220">
        <f t="shared" si="13"/>
        <v>17684.957684957684</v>
      </c>
      <c r="AE45" s="72"/>
      <c r="AF45" s="226" t="s">
        <v>22</v>
      </c>
      <c r="AG45" s="227" t="s">
        <v>31</v>
      </c>
      <c r="AH45" s="233" t="s">
        <v>24</v>
      </c>
      <c r="AI45" s="397" t="s">
        <v>34</v>
      </c>
      <c r="AJ45" s="37"/>
      <c r="AK45" s="41"/>
      <c r="AL45" s="37"/>
      <c r="AM45" s="37"/>
      <c r="AN45" s="20"/>
      <c r="AO45" s="18"/>
    </row>
    <row r="46" spans="1:118" ht="31.5" customHeight="1" thickBot="1">
      <c r="A46" s="170">
        <v>30</v>
      </c>
      <c r="B46" s="123">
        <v>60</v>
      </c>
      <c r="C46" s="123">
        <v>2</v>
      </c>
      <c r="D46" s="171">
        <f>F46*E46</f>
        <v>7700030.7999999998</v>
      </c>
      <c r="E46" s="171">
        <v>377.36</v>
      </c>
      <c r="F46" s="241">
        <v>20405</v>
      </c>
      <c r="G46" s="121"/>
      <c r="H46" s="122"/>
      <c r="I46" s="122"/>
      <c r="J46" s="122"/>
      <c r="K46" s="122">
        <f>AF40+15</f>
        <v>1050</v>
      </c>
      <c r="L46" s="103">
        <f>K46/E46</f>
        <v>2.7824888700445198</v>
      </c>
      <c r="M46" s="91">
        <f t="shared" si="9"/>
        <v>25927.73719814212</v>
      </c>
      <c r="N46" s="92">
        <f t="shared" si="14"/>
        <v>24533.772832650604</v>
      </c>
      <c r="O46" s="93">
        <f t="shared" si="15"/>
        <v>22816.408734365064</v>
      </c>
      <c r="P46" s="124"/>
      <c r="Q46" s="169">
        <v>51</v>
      </c>
      <c r="R46" s="167">
        <v>1.7</v>
      </c>
      <c r="S46" s="166"/>
      <c r="T46" s="167">
        <v>483.09</v>
      </c>
      <c r="U46" s="144"/>
      <c r="V46" s="167"/>
      <c r="W46" s="167"/>
      <c r="X46" s="168"/>
      <c r="Y46" s="254">
        <v>1000</v>
      </c>
      <c r="Z46" s="144">
        <v>1070</v>
      </c>
      <c r="AA46" s="269">
        <f>Z46/T46</f>
        <v>2.214908195160322</v>
      </c>
      <c r="AB46" s="212">
        <f>AD46/0.88</f>
        <v>20638.917273084819</v>
      </c>
      <c r="AC46" s="213">
        <f>AD46/0.93</f>
        <v>19529.298064854451</v>
      </c>
      <c r="AD46" s="220">
        <f t="shared" si="13"/>
        <v>18162.247200314639</v>
      </c>
      <c r="AE46" s="72"/>
      <c r="AF46" s="228">
        <v>0.98</v>
      </c>
      <c r="AG46" s="229">
        <v>8100</v>
      </c>
      <c r="AH46" s="234">
        <v>115</v>
      </c>
      <c r="AI46" s="397"/>
      <c r="AJ46" s="266"/>
      <c r="AK46" s="41"/>
      <c r="AL46" s="266"/>
      <c r="AM46" s="266"/>
      <c r="AN46" s="20"/>
      <c r="AO46" s="18"/>
    </row>
    <row r="47" spans="1:118" ht="31.5" customHeight="1">
      <c r="A47" s="98">
        <v>30</v>
      </c>
      <c r="B47" s="99">
        <v>60</v>
      </c>
      <c r="C47" s="99">
        <v>2.5</v>
      </c>
      <c r="D47" s="100">
        <f>F47*E47</f>
        <v>7600004.5379999997</v>
      </c>
      <c r="E47" s="100">
        <v>307.69</v>
      </c>
      <c r="F47" s="241">
        <v>24700.2</v>
      </c>
      <c r="G47" s="101">
        <f>AF46</f>
        <v>0.98</v>
      </c>
      <c r="H47" s="102">
        <f>$AG$46</f>
        <v>8100</v>
      </c>
      <c r="I47" s="102">
        <f>$AH$46</f>
        <v>115</v>
      </c>
      <c r="J47" s="102">
        <f>D47*G47/H47+I47</f>
        <v>1034.5067218814816</v>
      </c>
      <c r="K47" s="109"/>
      <c r="L47" s="103">
        <f>J47/E47</f>
        <v>3.3621720624052833</v>
      </c>
      <c r="M47" s="91">
        <f t="shared" si="9"/>
        <v>31329.330581503775</v>
      </c>
      <c r="N47" s="92">
        <f t="shared" si="14"/>
        <v>29644.957969594969</v>
      </c>
      <c r="O47" s="93">
        <f t="shared" si="15"/>
        <v>27569.810911723322</v>
      </c>
      <c r="P47" s="124"/>
      <c r="Q47" s="169" t="s">
        <v>74</v>
      </c>
      <c r="R47" s="167">
        <v>1.7</v>
      </c>
      <c r="S47" s="166"/>
      <c r="T47" s="167">
        <v>485.43</v>
      </c>
      <c r="U47" s="144"/>
      <c r="V47" s="167"/>
      <c r="W47" s="167"/>
      <c r="X47" s="168"/>
      <c r="Y47" s="254">
        <v>1000</v>
      </c>
      <c r="Z47" s="144">
        <v>1185</v>
      </c>
      <c r="AA47" s="269">
        <f>Z47/T47</f>
        <v>2.4411346641122305</v>
      </c>
      <c r="AB47" s="212">
        <f>AD47/0.88</f>
        <v>22746.936642863966</v>
      </c>
      <c r="AC47" s="213">
        <f>AD47/0.93</f>
        <v>21523.983059914288</v>
      </c>
      <c r="AD47" s="220">
        <f t="shared" si="13"/>
        <v>20017.30424572029</v>
      </c>
      <c r="AE47" s="72"/>
      <c r="AF47" s="75">
        <v>0.98</v>
      </c>
      <c r="AG47" s="328">
        <v>8100</v>
      </c>
      <c r="AH47" s="328">
        <v>65</v>
      </c>
      <c r="AI47" s="232"/>
      <c r="AJ47" s="252"/>
      <c r="AK47" s="41"/>
      <c r="AL47" s="252"/>
      <c r="AM47" s="252"/>
      <c r="AN47" s="20"/>
      <c r="AO47" s="18"/>
    </row>
    <row r="48" spans="1:118" ht="31.5" customHeight="1">
      <c r="A48" s="104">
        <v>40</v>
      </c>
      <c r="B48" s="105">
        <v>20</v>
      </c>
      <c r="C48" s="105">
        <v>1.5</v>
      </c>
      <c r="D48" s="105"/>
      <c r="E48" s="106">
        <v>763.35</v>
      </c>
      <c r="F48" s="120">
        <f>D48/E48</f>
        <v>0</v>
      </c>
      <c r="G48" s="107"/>
      <c r="H48" s="108"/>
      <c r="I48" s="108"/>
      <c r="J48" s="109"/>
      <c r="K48" s="108">
        <f>K44</f>
        <v>1085</v>
      </c>
      <c r="L48" s="103">
        <f>K48/E48</f>
        <v>1.4213663457129757</v>
      </c>
      <c r="M48" s="91">
        <f t="shared" si="9"/>
        <v>13244.550039598184</v>
      </c>
      <c r="N48" s="92">
        <f t="shared" si="14"/>
        <v>12532.477456824086</v>
      </c>
      <c r="O48" s="93">
        <f t="shared" si="15"/>
        <v>11655.204034846402</v>
      </c>
      <c r="P48" s="124"/>
      <c r="Q48" s="125" t="s">
        <v>74</v>
      </c>
      <c r="R48" s="126">
        <v>2.1</v>
      </c>
      <c r="S48" s="307">
        <f t="shared" ref="S48:S57" si="19">U48*T48</f>
        <v>0</v>
      </c>
      <c r="T48" s="126">
        <v>396.82</v>
      </c>
      <c r="U48" s="114"/>
      <c r="V48" s="126"/>
      <c r="W48" s="126"/>
      <c r="X48" s="128"/>
      <c r="Y48" s="114">
        <v>1000</v>
      </c>
      <c r="Z48" s="165">
        <f>1130-15</f>
        <v>1115</v>
      </c>
      <c r="AA48" s="269">
        <f t="shared" ref="AA48:AA53" si="20">Z48/T48</f>
        <v>2.8098382137997078</v>
      </c>
      <c r="AB48" s="212">
        <f t="shared" si="3"/>
        <v>26182.583355860912</v>
      </c>
      <c r="AC48" s="213">
        <f t="shared" si="4"/>
        <v>24774.917584040431</v>
      </c>
      <c r="AD48" s="220">
        <f t="shared" si="13"/>
        <v>23040.673353157603</v>
      </c>
      <c r="AE48" s="72"/>
      <c r="AF48" s="75"/>
      <c r="AG48" s="328"/>
      <c r="AH48" s="328"/>
      <c r="AI48" s="232"/>
      <c r="AJ48" s="266"/>
      <c r="AK48" s="41"/>
      <c r="AL48" s="266"/>
      <c r="AM48" s="266"/>
      <c r="AN48" s="20"/>
      <c r="AO48" s="18"/>
    </row>
    <row r="49" spans="1:41" ht="21.75" customHeight="1" thickBot="1">
      <c r="A49" s="170">
        <v>40</v>
      </c>
      <c r="B49" s="123">
        <v>20</v>
      </c>
      <c r="C49" s="123">
        <v>1.7</v>
      </c>
      <c r="D49" s="171">
        <f>F49*E49</f>
        <v>7800043.8470000001</v>
      </c>
      <c r="E49" s="171">
        <v>680.27</v>
      </c>
      <c r="F49" s="241">
        <v>11466.1</v>
      </c>
      <c r="G49" s="121"/>
      <c r="H49" s="122"/>
      <c r="I49" s="122"/>
      <c r="J49" s="122"/>
      <c r="K49" s="122">
        <f>AF40</f>
        <v>1035</v>
      </c>
      <c r="L49" s="103">
        <f>K49/E49</f>
        <v>1.5214547165096213</v>
      </c>
      <c r="M49" s="91">
        <f t="shared" si="9"/>
        <v>14177.191676566927</v>
      </c>
      <c r="N49" s="92">
        <f t="shared" si="14"/>
        <v>13414.977070299887</v>
      </c>
      <c r="O49" s="93">
        <f t="shared" si="15"/>
        <v>12475.928675378895</v>
      </c>
      <c r="P49" s="124"/>
      <c r="Q49" s="160" t="s">
        <v>72</v>
      </c>
      <c r="R49" s="126">
        <v>2.5</v>
      </c>
      <c r="S49" s="307">
        <f t="shared" si="19"/>
        <v>0</v>
      </c>
      <c r="T49" s="126">
        <v>335.57</v>
      </c>
      <c r="U49" s="114"/>
      <c r="V49" s="126"/>
      <c r="W49" s="126"/>
      <c r="X49" s="128"/>
      <c r="Y49" s="165">
        <v>1020</v>
      </c>
      <c r="Z49" s="165">
        <v>1130</v>
      </c>
      <c r="AA49" s="269">
        <f t="shared" si="20"/>
        <v>3.3674047143666002</v>
      </c>
      <c r="AB49" s="212">
        <f t="shared" si="3"/>
        <v>31378.089383870592</v>
      </c>
      <c r="AC49" s="213">
        <f t="shared" si="4"/>
        <v>29691.095330974324</v>
      </c>
      <c r="AD49" s="220">
        <f t="shared" si="13"/>
        <v>27612.718657806123</v>
      </c>
      <c r="AE49" s="72"/>
      <c r="AF49" s="75"/>
      <c r="AG49" s="328"/>
      <c r="AH49" s="328"/>
      <c r="AI49" s="232"/>
      <c r="AJ49" s="22"/>
      <c r="AK49" s="23"/>
      <c r="AL49" s="21"/>
      <c r="AM49" s="18"/>
      <c r="AN49" s="20"/>
      <c r="AO49" s="9"/>
    </row>
    <row r="50" spans="1:41" ht="22.5">
      <c r="A50" s="170">
        <v>40</v>
      </c>
      <c r="B50" s="123">
        <v>20</v>
      </c>
      <c r="C50" s="123">
        <v>2</v>
      </c>
      <c r="D50" s="171"/>
      <c r="E50" s="171">
        <v>588.23</v>
      </c>
      <c r="F50" s="120"/>
      <c r="G50" s="121"/>
      <c r="H50" s="122"/>
      <c r="I50" s="122"/>
      <c r="J50" s="122">
        <v>1010.5</v>
      </c>
      <c r="K50" s="122">
        <f>AF40</f>
        <v>1035</v>
      </c>
      <c r="L50" s="103">
        <f>K50/E50</f>
        <v>1.7595158356425207</v>
      </c>
      <c r="M50" s="91">
        <f t="shared" si="9"/>
        <v>16395.488468487125</v>
      </c>
      <c r="N50" s="92">
        <f t="shared" si="14"/>
        <v>15514.010593837278</v>
      </c>
      <c r="O50" s="93">
        <f t="shared" si="15"/>
        <v>14428.02985226867</v>
      </c>
      <c r="P50" s="124"/>
      <c r="Q50" s="160" t="s">
        <v>72</v>
      </c>
      <c r="R50" s="126">
        <v>2.8</v>
      </c>
      <c r="S50" s="307">
        <f t="shared" si="19"/>
        <v>0</v>
      </c>
      <c r="T50" s="126">
        <v>302.14999999999998</v>
      </c>
      <c r="U50" s="114"/>
      <c r="V50" s="94"/>
      <c r="W50" s="146"/>
      <c r="X50" s="146"/>
      <c r="Y50" s="114">
        <v>1020</v>
      </c>
      <c r="Z50" s="165">
        <v>1150</v>
      </c>
      <c r="AA50" s="269">
        <f t="shared" si="20"/>
        <v>3.8060565944067517</v>
      </c>
      <c r="AB50" s="212">
        <f t="shared" si="3"/>
        <v>35465.527356972001</v>
      </c>
      <c r="AC50" s="213">
        <f t="shared" si="4"/>
        <v>33558.7785743391</v>
      </c>
      <c r="AD50" s="220">
        <f t="shared" si="13"/>
        <v>31209.664074135362</v>
      </c>
      <c r="AE50" s="72"/>
      <c r="AF50" s="341" t="s">
        <v>22</v>
      </c>
      <c r="AG50" s="342" t="s">
        <v>31</v>
      </c>
      <c r="AH50" s="343" t="s">
        <v>24</v>
      </c>
      <c r="AI50" s="397" t="s">
        <v>32</v>
      </c>
      <c r="AJ50" s="22"/>
      <c r="AK50" s="23"/>
      <c r="AL50" s="21"/>
      <c r="AM50" s="18"/>
      <c r="AN50" s="20"/>
      <c r="AO50" s="9"/>
    </row>
    <row r="51" spans="1:41" ht="23.25" thickBot="1">
      <c r="A51" s="98">
        <v>40</v>
      </c>
      <c r="B51" s="99">
        <v>25</v>
      </c>
      <c r="C51" s="99">
        <v>1.2</v>
      </c>
      <c r="D51" s="100">
        <f>F51*E51</f>
        <v>8300040.1700000009</v>
      </c>
      <c r="E51" s="100">
        <v>862.1</v>
      </c>
      <c r="F51" s="241">
        <v>9627.7000000000007</v>
      </c>
      <c r="G51" s="101">
        <f>AF51</f>
        <v>0.98</v>
      </c>
      <c r="H51" s="102">
        <f>$AG$51</f>
        <v>8100</v>
      </c>
      <c r="I51" s="102">
        <f>I47</f>
        <v>115</v>
      </c>
      <c r="J51" s="102">
        <f>D51*G51/H51+I51</f>
        <v>1119.2023909382715</v>
      </c>
      <c r="K51" s="109"/>
      <c r="L51" s="103">
        <f>J51/E51</f>
        <v>1.2982280372790529</v>
      </c>
      <c r="M51" s="91">
        <f t="shared" si="9"/>
        <v>12097.12489282754</v>
      </c>
      <c r="N51" s="92">
        <f t="shared" si="14"/>
        <v>11446.741834073369</v>
      </c>
      <c r="O51" s="93">
        <f t="shared" si="15"/>
        <v>10645.469905688235</v>
      </c>
      <c r="P51" s="124"/>
      <c r="Q51" s="129">
        <v>50</v>
      </c>
      <c r="R51" s="130">
        <v>1.5</v>
      </c>
      <c r="S51" s="335">
        <f t="shared" ca="1" si="19"/>
        <v>8600046.75</v>
      </c>
      <c r="T51" s="130">
        <v>487.8</v>
      </c>
      <c r="U51" s="144">
        <f ca="1">S51/T51</f>
        <v>0</v>
      </c>
      <c r="V51" s="309"/>
      <c r="W51" s="105"/>
      <c r="X51" s="105"/>
      <c r="Y51" s="214"/>
      <c r="Z51" s="131">
        <f>AH40</f>
        <v>1085</v>
      </c>
      <c r="AA51" s="269">
        <f t="shared" si="20"/>
        <v>2.2242722427224271</v>
      </c>
      <c r="AB51" s="212">
        <f t="shared" si="3"/>
        <v>20726.173170822614</v>
      </c>
      <c r="AC51" s="213">
        <f t="shared" si="4"/>
        <v>19611.862785294517</v>
      </c>
      <c r="AD51" s="220">
        <f t="shared" si="13"/>
        <v>18239.0323903239</v>
      </c>
      <c r="AE51" s="72"/>
      <c r="AF51" s="230">
        <v>0.98</v>
      </c>
      <c r="AG51" s="231">
        <v>8100</v>
      </c>
      <c r="AH51" s="235">
        <v>135</v>
      </c>
      <c r="AI51" s="397"/>
      <c r="AJ51" s="22"/>
      <c r="AK51" s="23"/>
      <c r="AL51" s="21"/>
      <c r="AM51" s="18"/>
      <c r="AN51" s="20"/>
      <c r="AO51" s="9"/>
    </row>
    <row r="52" spans="1:41" ht="24.75" customHeight="1">
      <c r="A52" s="104">
        <v>40</v>
      </c>
      <c r="B52" s="105">
        <v>25</v>
      </c>
      <c r="C52" s="105">
        <v>1.5</v>
      </c>
      <c r="D52" s="106"/>
      <c r="E52" s="106">
        <v>699.3</v>
      </c>
      <c r="F52" s="120">
        <f>D52/E52</f>
        <v>0</v>
      </c>
      <c r="G52" s="107"/>
      <c r="H52" s="108"/>
      <c r="I52" s="108"/>
      <c r="J52" s="109"/>
      <c r="K52" s="108">
        <f>K48</f>
        <v>1085</v>
      </c>
      <c r="L52" s="103">
        <f>K52/E52</f>
        <v>1.5515515515515517</v>
      </c>
      <c r="M52" s="91">
        <f t="shared" si="9"/>
        <v>14457.639457639458</v>
      </c>
      <c r="N52" s="92">
        <f t="shared" si="14"/>
        <v>13680.347013680346</v>
      </c>
      <c r="O52" s="93">
        <f t="shared" si="15"/>
        <v>12722.722722722723</v>
      </c>
      <c r="P52" s="124"/>
      <c r="Q52" s="140">
        <v>50</v>
      </c>
      <c r="R52" s="141" t="s">
        <v>6</v>
      </c>
      <c r="S52" s="334">
        <f t="shared" si="19"/>
        <v>7800022.5</v>
      </c>
      <c r="T52" s="143">
        <v>431</v>
      </c>
      <c r="U52" s="332">
        <v>18097.5</v>
      </c>
      <c r="V52" s="310"/>
      <c r="W52" s="310"/>
      <c r="X52" s="310"/>
      <c r="Y52" s="136"/>
      <c r="Z52" s="135">
        <f>AG40</f>
        <v>1035</v>
      </c>
      <c r="AA52" s="269">
        <f>Z52/T52</f>
        <v>2.4013921113689096</v>
      </c>
      <c r="AB52" s="212">
        <f>AD52/0.88</f>
        <v>22376.608310483021</v>
      </c>
      <c r="AC52" s="213">
        <f>AD52/0.93</f>
        <v>21173.564852930169</v>
      </c>
      <c r="AD52" s="220">
        <f t="shared" si="13"/>
        <v>19691.415313225058</v>
      </c>
      <c r="AE52" s="72"/>
      <c r="AF52" s="75">
        <v>0.98</v>
      </c>
      <c r="AG52" s="328">
        <v>8100</v>
      </c>
      <c r="AH52" s="328">
        <v>80</v>
      </c>
      <c r="AI52" s="232"/>
      <c r="AJ52" s="22"/>
      <c r="AK52" s="23"/>
      <c r="AL52" s="21"/>
      <c r="AM52" s="18"/>
      <c r="AN52" s="20"/>
      <c r="AO52" s="9"/>
    </row>
    <row r="53" spans="1:41" ht="24.75" customHeight="1">
      <c r="A53" s="145" t="s">
        <v>69</v>
      </c>
      <c r="B53" s="146">
        <v>25</v>
      </c>
      <c r="C53" s="146">
        <v>1.7</v>
      </c>
      <c r="D53" s="147"/>
      <c r="E53" s="147">
        <v>621.1</v>
      </c>
      <c r="F53" s="147"/>
      <c r="G53" s="148"/>
      <c r="H53" s="149"/>
      <c r="I53" s="149"/>
      <c r="J53" s="304">
        <v>1000</v>
      </c>
      <c r="K53" s="149">
        <v>1065</v>
      </c>
      <c r="L53" s="103">
        <f>K53/E53</f>
        <v>1.7146997262920625</v>
      </c>
      <c r="M53" s="91">
        <f t="shared" si="9"/>
        <v>15977.883813176037</v>
      </c>
      <c r="N53" s="92">
        <f t="shared" si="14"/>
        <v>15118.857801714959</v>
      </c>
      <c r="O53" s="93">
        <f t="shared" si="15"/>
        <v>14060.537755594913</v>
      </c>
      <c r="P53" s="124"/>
      <c r="Q53" s="140">
        <v>50</v>
      </c>
      <c r="R53" s="141">
        <v>2.1</v>
      </c>
      <c r="S53" s="334">
        <f t="shared" si="19"/>
        <v>7700004.4800000004</v>
      </c>
      <c r="T53" s="143">
        <v>352.1</v>
      </c>
      <c r="U53" s="332">
        <v>21868.799999999999</v>
      </c>
      <c r="V53" s="142"/>
      <c r="W53" s="143"/>
      <c r="X53" s="143"/>
      <c r="Y53" s="136"/>
      <c r="Z53" s="135">
        <f>AG40+20</f>
        <v>1055</v>
      </c>
      <c r="AA53" s="269">
        <f t="shared" si="20"/>
        <v>2.9963078670832148</v>
      </c>
      <c r="AB53" s="212">
        <f t="shared" si="3"/>
        <v>27920.141488729954</v>
      </c>
      <c r="AC53" s="213">
        <f t="shared" si="4"/>
        <v>26419.058612991783</v>
      </c>
      <c r="AD53" s="220">
        <f t="shared" si="13"/>
        <v>24569.72451008236</v>
      </c>
      <c r="AE53" s="72"/>
      <c r="AF53" s="20"/>
      <c r="AG53" s="20"/>
      <c r="AH53" s="20"/>
      <c r="AI53" s="9"/>
      <c r="AJ53" s="22"/>
      <c r="AK53" s="23"/>
      <c r="AL53" s="21"/>
      <c r="AM53" s="18"/>
      <c r="AN53" s="20"/>
      <c r="AO53" s="9"/>
    </row>
    <row r="54" spans="1:41" ht="23.25" customHeight="1">
      <c r="A54" s="170">
        <v>40</v>
      </c>
      <c r="B54" s="123">
        <v>25</v>
      </c>
      <c r="C54" s="123">
        <v>1.7</v>
      </c>
      <c r="D54" s="171">
        <f>F54*E54</f>
        <v>8400004.8399999999</v>
      </c>
      <c r="E54" s="171">
        <v>621.1</v>
      </c>
      <c r="F54" s="120">
        <v>13524.4</v>
      </c>
      <c r="G54" s="121"/>
      <c r="H54" s="122"/>
      <c r="I54" s="122"/>
      <c r="J54" s="122"/>
      <c r="K54" s="122">
        <f>K55</f>
        <v>1035</v>
      </c>
      <c r="L54" s="103">
        <f>K54/E54</f>
        <v>1.666398325551441</v>
      </c>
      <c r="M54" s="91">
        <f t="shared" si="9"/>
        <v>15527.802579002064</v>
      </c>
      <c r="N54" s="92">
        <f>O54/0.9</f>
        <v>15182.740299468684</v>
      </c>
      <c r="O54" s="93">
        <f t="shared" ref="O54:O68" si="21">L54*$AG$17</f>
        <v>13664.466269521816</v>
      </c>
      <c r="P54" s="124"/>
      <c r="Q54" s="111">
        <v>50</v>
      </c>
      <c r="R54" s="112">
        <v>2.8</v>
      </c>
      <c r="S54" s="113">
        <f t="shared" si="19"/>
        <v>7600016.0599999996</v>
      </c>
      <c r="T54" s="112">
        <v>267.39999999999998</v>
      </c>
      <c r="U54" s="329">
        <v>28421.9</v>
      </c>
      <c r="V54" s="112">
        <f>$AF$51</f>
        <v>0.98</v>
      </c>
      <c r="W54" s="137">
        <f>$AG$51</f>
        <v>8100</v>
      </c>
      <c r="X54" s="137">
        <f>AH46+15</f>
        <v>130</v>
      </c>
      <c r="Y54" s="163">
        <f>S54*V54/W54+X54</f>
        <v>1049.5081159012345</v>
      </c>
      <c r="Z54" s="116"/>
      <c r="AA54" s="269">
        <f>Y54/T54</f>
        <v>3.924862063953757</v>
      </c>
      <c r="AB54" s="212">
        <f t="shared" ref="AB54:AB66" si="22">AD54/0.88</f>
        <v>36572.57832320546</v>
      </c>
      <c r="AC54" s="213">
        <f t="shared" ref="AC54:AC66" si="23">AD54/0.93</f>
        <v>34606.310671420222</v>
      </c>
      <c r="AD54" s="220">
        <f t="shared" si="13"/>
        <v>32183.868924420807</v>
      </c>
      <c r="AE54" s="72"/>
      <c r="AF54" s="20"/>
      <c r="AG54" s="20"/>
      <c r="AH54" s="20"/>
      <c r="AI54" s="9"/>
      <c r="AJ54" s="22"/>
      <c r="AK54" s="23"/>
      <c r="AL54" s="21"/>
      <c r="AM54" s="18"/>
      <c r="AN54" s="20"/>
      <c r="AO54" s="9"/>
    </row>
    <row r="55" spans="1:41" ht="24" customHeight="1">
      <c r="A55" s="170">
        <v>40</v>
      </c>
      <c r="B55" s="123">
        <v>25</v>
      </c>
      <c r="C55" s="123">
        <v>2</v>
      </c>
      <c r="D55" s="171">
        <f>F55*E55</f>
        <v>7700044.8000000007</v>
      </c>
      <c r="E55" s="171">
        <v>537.6</v>
      </c>
      <c r="F55" s="241">
        <v>14323</v>
      </c>
      <c r="G55" s="121"/>
      <c r="H55" s="122"/>
      <c r="I55" s="122"/>
      <c r="J55" s="122"/>
      <c r="K55" s="122">
        <f>K49</f>
        <v>1035</v>
      </c>
      <c r="L55" s="103">
        <f>K55/E55</f>
        <v>1.9252232142857142</v>
      </c>
      <c r="M55" s="91">
        <f t="shared" si="9"/>
        <v>17939.5799512987</v>
      </c>
      <c r="N55" s="92">
        <f t="shared" ref="N55:N93" si="24">O55/0.93</f>
        <v>16975.086405529953</v>
      </c>
      <c r="O55" s="93">
        <f t="shared" si="21"/>
        <v>15786.830357142857</v>
      </c>
      <c r="P55" s="124"/>
      <c r="Q55" s="111">
        <v>50</v>
      </c>
      <c r="R55" s="112">
        <v>3</v>
      </c>
      <c r="S55" s="113">
        <f t="shared" si="19"/>
        <v>7600000</v>
      </c>
      <c r="T55" s="112">
        <v>250</v>
      </c>
      <c r="U55" s="329">
        <v>30400</v>
      </c>
      <c r="V55" s="112">
        <f>$AF$51</f>
        <v>0.98</v>
      </c>
      <c r="W55" s="112">
        <f>$AG$51</f>
        <v>8100</v>
      </c>
      <c r="X55" s="137">
        <f>AH46+15</f>
        <v>130</v>
      </c>
      <c r="Y55" s="163">
        <f>S55*V55/W55+X55</f>
        <v>1049.5061728395062</v>
      </c>
      <c r="Z55" s="116"/>
      <c r="AA55" s="269">
        <f>Y55/T55</f>
        <v>4.1980246913580253</v>
      </c>
      <c r="AB55" s="212">
        <f t="shared" si="22"/>
        <v>39117.957351290694</v>
      </c>
      <c r="AC55" s="213">
        <f t="shared" si="23"/>
        <v>37014.841364662156</v>
      </c>
      <c r="AD55" s="220">
        <f t="shared" si="13"/>
        <v>34423.802469135808</v>
      </c>
      <c r="AE55" s="72"/>
      <c r="AJ55" s="22"/>
      <c r="AK55" s="23"/>
      <c r="AL55" s="21"/>
      <c r="AM55" s="18"/>
      <c r="AN55" s="20"/>
      <c r="AO55" s="9"/>
    </row>
    <row r="56" spans="1:41" ht="24.75" customHeight="1">
      <c r="A56" s="98">
        <v>40</v>
      </c>
      <c r="B56" s="99">
        <v>40</v>
      </c>
      <c r="C56" s="99">
        <v>1.2</v>
      </c>
      <c r="D56" s="100">
        <f>E56*F56</f>
        <v>8300024.3199999994</v>
      </c>
      <c r="E56" s="100">
        <v>694.4</v>
      </c>
      <c r="F56" s="241">
        <v>11952.8</v>
      </c>
      <c r="G56" s="101">
        <f>AF46</f>
        <v>0.98</v>
      </c>
      <c r="H56" s="102">
        <f>AG46</f>
        <v>8100</v>
      </c>
      <c r="I56" s="102">
        <f>I51</f>
        <v>115</v>
      </c>
      <c r="J56" s="102">
        <f>D56*G56/H56+I56</f>
        <v>1119.2004732839505</v>
      </c>
      <c r="K56" s="109"/>
      <c r="L56" s="103">
        <f>J56/E56</f>
        <v>1.6117518336462422</v>
      </c>
      <c r="M56" s="91">
        <f t="shared" si="9"/>
        <v>15018.59663170362</v>
      </c>
      <c r="N56" s="92">
        <f t="shared" si="24"/>
        <v>14211.145199891596</v>
      </c>
      <c r="O56" s="93">
        <f t="shared" si="21"/>
        <v>13216.365035899185</v>
      </c>
      <c r="P56" s="124"/>
      <c r="Q56" s="111">
        <v>50</v>
      </c>
      <c r="R56" s="112">
        <v>3.2</v>
      </c>
      <c r="S56" s="113">
        <f t="shared" si="19"/>
        <v>7600001.7600000007</v>
      </c>
      <c r="T56" s="112">
        <v>235.3</v>
      </c>
      <c r="U56" s="329">
        <v>32299.200000000001</v>
      </c>
      <c r="V56" s="112">
        <f>$AF$46</f>
        <v>0.98</v>
      </c>
      <c r="W56" s="112">
        <f>$AG$46</f>
        <v>8100</v>
      </c>
      <c r="X56" s="137">
        <f>AH46+15</f>
        <v>130</v>
      </c>
      <c r="Y56" s="163">
        <f>S56*V56/W56+X56</f>
        <v>1049.5063857777777</v>
      </c>
      <c r="Z56" s="116"/>
      <c r="AA56" s="269">
        <f>Y56/T56</f>
        <v>4.4602906322897482</v>
      </c>
      <c r="AB56" s="212">
        <f t="shared" si="22"/>
        <v>41561.799073609014</v>
      </c>
      <c r="AC56" s="213">
        <f t="shared" si="23"/>
        <v>39327.293747070893</v>
      </c>
      <c r="AD56" s="220">
        <f t="shared" si="13"/>
        <v>36574.383184775936</v>
      </c>
      <c r="AE56" s="72"/>
      <c r="AJ56" s="22"/>
      <c r="AK56" s="23"/>
      <c r="AL56" s="21"/>
      <c r="AM56" s="18"/>
      <c r="AN56" s="20"/>
      <c r="AO56" s="9"/>
    </row>
    <row r="57" spans="1:41" ht="20.25">
      <c r="A57" s="145" t="s">
        <v>69</v>
      </c>
      <c r="B57" s="146">
        <v>40</v>
      </c>
      <c r="C57" s="146">
        <v>0.9</v>
      </c>
      <c r="D57" s="147"/>
      <c r="E57" s="147">
        <v>917.43</v>
      </c>
      <c r="F57" s="147"/>
      <c r="G57" s="148"/>
      <c r="H57" s="149"/>
      <c r="I57" s="149"/>
      <c r="J57" s="304">
        <v>1150</v>
      </c>
      <c r="K57" s="304">
        <f>1300</f>
        <v>1300</v>
      </c>
      <c r="L57" s="103">
        <f>K57/E57</f>
        <v>1.4170018421023949</v>
      </c>
      <c r="M57" s="91">
        <f t="shared" si="9"/>
        <v>13203.880801408679</v>
      </c>
      <c r="N57" s="92">
        <f t="shared" si="24"/>
        <v>12493.994736816814</v>
      </c>
      <c r="O57" s="93">
        <f t="shared" si="21"/>
        <v>11619.415105239637</v>
      </c>
      <c r="P57" s="124"/>
      <c r="Q57" s="111">
        <v>50</v>
      </c>
      <c r="R57" s="112">
        <v>3.5</v>
      </c>
      <c r="S57" s="113">
        <f t="shared" si="19"/>
        <v>7600016</v>
      </c>
      <c r="T57" s="112">
        <v>216.5</v>
      </c>
      <c r="U57" s="329">
        <v>35104</v>
      </c>
      <c r="V57" s="115">
        <f>$AF$51</f>
        <v>0.98</v>
      </c>
      <c r="W57" s="215">
        <f>$AG$51</f>
        <v>8100</v>
      </c>
      <c r="X57" s="137">
        <f>AH46+15</f>
        <v>130</v>
      </c>
      <c r="Y57" s="215">
        <f>S57*V57/W57+X57</f>
        <v>1049.5081086419752</v>
      </c>
      <c r="Z57" s="116"/>
      <c r="AA57" s="269">
        <f>Y57/T57</f>
        <v>4.8476125110483848</v>
      </c>
      <c r="AB57" s="212">
        <f t="shared" si="22"/>
        <v>45170.934762041768</v>
      </c>
      <c r="AC57" s="213">
        <f t="shared" si="23"/>
        <v>42742.389882362098</v>
      </c>
      <c r="AD57" s="220">
        <f t="shared" si="13"/>
        <v>39750.422590596754</v>
      </c>
      <c r="AE57" s="72"/>
      <c r="AJ57" s="22"/>
      <c r="AK57" s="23"/>
      <c r="AL57" s="21"/>
      <c r="AM57" s="18"/>
      <c r="AN57" s="20"/>
      <c r="AO57" s="9"/>
    </row>
    <row r="58" spans="1:41" ht="20.25">
      <c r="A58" s="145" t="s">
        <v>69</v>
      </c>
      <c r="B58" s="146">
        <v>40</v>
      </c>
      <c r="C58" s="161">
        <v>1</v>
      </c>
      <c r="D58" s="147"/>
      <c r="E58" s="147">
        <v>826.44</v>
      </c>
      <c r="F58" s="147"/>
      <c r="G58" s="148"/>
      <c r="H58" s="149"/>
      <c r="I58" s="149"/>
      <c r="J58" s="304">
        <v>1090</v>
      </c>
      <c r="K58" s="304">
        <v>1200</v>
      </c>
      <c r="L58" s="103">
        <f>K58/E58</f>
        <v>1.452011035283868</v>
      </c>
      <c r="M58" s="91">
        <f t="shared" ref="M58" si="25">O58/0.88</f>
        <v>13530.102828781497</v>
      </c>
      <c r="N58" s="92">
        <f t="shared" ref="N58" si="26">O58/0.93</f>
        <v>12802.677945513675</v>
      </c>
      <c r="O58" s="93">
        <f t="shared" ref="O58" si="27">L58*$AG$17</f>
        <v>11906.490489327718</v>
      </c>
      <c r="P58" s="124"/>
      <c r="Q58" s="111">
        <v>60</v>
      </c>
      <c r="R58" s="112">
        <v>2.1</v>
      </c>
      <c r="S58" s="113"/>
      <c r="T58" s="327">
        <v>331.78</v>
      </c>
      <c r="U58" s="215"/>
      <c r="V58" s="115"/>
      <c r="W58" s="215"/>
      <c r="X58" s="137"/>
      <c r="Y58" s="215">
        <v>1100</v>
      </c>
      <c r="Z58" s="116"/>
      <c r="AA58" s="269">
        <f>Y58/T58</f>
        <v>3.3154499969859548</v>
      </c>
      <c r="AB58" s="212">
        <f t="shared" ref="AB58" si="28">AD58/0.88</f>
        <v>30893.965881005486</v>
      </c>
      <c r="AC58" s="213">
        <f t="shared" ref="AC58" si="29">AD58/0.93</f>
        <v>29232.999973424547</v>
      </c>
      <c r="AD58" s="220">
        <f t="shared" ref="AD58" si="30">AA58*$AG$17</f>
        <v>27186.689975284829</v>
      </c>
      <c r="AE58" s="72"/>
      <c r="AJ58" s="22"/>
      <c r="AK58" s="23"/>
      <c r="AL58" s="21"/>
      <c r="AM58" s="18"/>
      <c r="AN58" s="20"/>
      <c r="AO58" s="9"/>
    </row>
    <row r="59" spans="1:41" ht="20.25">
      <c r="A59" s="145" t="s">
        <v>56</v>
      </c>
      <c r="B59" s="146">
        <v>40</v>
      </c>
      <c r="C59" s="161">
        <v>1.5</v>
      </c>
      <c r="D59" s="147"/>
      <c r="E59" s="147">
        <v>562</v>
      </c>
      <c r="F59" s="147"/>
      <c r="G59" s="148"/>
      <c r="H59" s="149"/>
      <c r="I59" s="149"/>
      <c r="J59" s="304">
        <v>1035</v>
      </c>
      <c r="K59" s="304">
        <f>1115</f>
        <v>1115</v>
      </c>
      <c r="L59" s="103">
        <f t="shared" ref="L59:L64" si="31">K59/E59</f>
        <v>1.9839857651245552</v>
      </c>
      <c r="M59" s="91">
        <f t="shared" si="9"/>
        <v>18487.140084115174</v>
      </c>
      <c r="N59" s="92">
        <f t="shared" si="24"/>
        <v>17493.207821528336</v>
      </c>
      <c r="O59" s="93">
        <f t="shared" si="21"/>
        <v>16268.683274021352</v>
      </c>
      <c r="P59" s="124"/>
      <c r="Q59" s="125" t="s">
        <v>110</v>
      </c>
      <c r="R59" s="126">
        <v>2.8</v>
      </c>
      <c r="S59" s="307"/>
      <c r="T59" s="308">
        <v>251.88</v>
      </c>
      <c r="U59" s="114"/>
      <c r="V59" s="127"/>
      <c r="W59" s="114"/>
      <c r="X59" s="128"/>
      <c r="Y59" s="114">
        <v>1020</v>
      </c>
      <c r="Z59" s="114">
        <v>1250</v>
      </c>
      <c r="AA59" s="269">
        <f t="shared" ref="AA59:AA64" si="32">Z59/T59</f>
        <v>4.9626806415753535</v>
      </c>
      <c r="AB59" s="212">
        <f>AD59/0.88</f>
        <v>46243.160523770341</v>
      </c>
      <c r="AC59" s="213">
        <f t="shared" si="23"/>
        <v>43756.969097761183</v>
      </c>
      <c r="AD59" s="220">
        <f>AA59*$AG$17</f>
        <v>40693.981260917899</v>
      </c>
      <c r="AE59" s="72"/>
      <c r="AJ59" s="22"/>
      <c r="AK59" s="23"/>
      <c r="AL59" s="21"/>
      <c r="AM59" s="18"/>
      <c r="AN59" s="20"/>
      <c r="AO59" s="9"/>
    </row>
    <row r="60" spans="1:41" ht="33" customHeight="1">
      <c r="A60" s="104">
        <v>40</v>
      </c>
      <c r="B60" s="105">
        <v>40</v>
      </c>
      <c r="C60" s="105">
        <v>1.5</v>
      </c>
      <c r="D60" s="106"/>
      <c r="E60" s="106">
        <v>561.79999999999995</v>
      </c>
      <c r="F60" s="120">
        <f>D60/E60</f>
        <v>0</v>
      </c>
      <c r="G60" s="107"/>
      <c r="H60" s="108"/>
      <c r="I60" s="108"/>
      <c r="J60" s="109"/>
      <c r="K60" s="110">
        <f>K52</f>
        <v>1085</v>
      </c>
      <c r="L60" s="103">
        <f t="shared" si="31"/>
        <v>1.9312922748309009</v>
      </c>
      <c r="M60" s="91">
        <f t="shared" si="9"/>
        <v>17996.132560924303</v>
      </c>
      <c r="N60" s="92">
        <f t="shared" si="24"/>
        <v>17028.598552272459</v>
      </c>
      <c r="O60" s="93">
        <f t="shared" si="21"/>
        <v>15836.596653613387</v>
      </c>
      <c r="P60" s="124"/>
      <c r="Q60" s="125" t="s">
        <v>89</v>
      </c>
      <c r="R60" s="126">
        <v>1.5</v>
      </c>
      <c r="S60" s="307"/>
      <c r="T60" s="308">
        <v>362.31799999999998</v>
      </c>
      <c r="U60" s="114"/>
      <c r="V60" s="127"/>
      <c r="W60" s="114"/>
      <c r="X60" s="128"/>
      <c r="Y60" s="304">
        <v>1035</v>
      </c>
      <c r="Z60" s="114">
        <v>1185</v>
      </c>
      <c r="AA60" s="269">
        <f t="shared" si="32"/>
        <v>3.2706075878096037</v>
      </c>
      <c r="AB60" s="212">
        <f t="shared" si="22"/>
        <v>30476.116159134945</v>
      </c>
      <c r="AC60" s="213">
        <f t="shared" si="23"/>
        <v>28837.615290364247</v>
      </c>
      <c r="AD60" s="220">
        <f t="shared" si="13"/>
        <v>26818.98222003875</v>
      </c>
      <c r="AE60" s="72"/>
      <c r="AJ60" s="22"/>
      <c r="AK60" s="23"/>
      <c r="AL60" s="21"/>
      <c r="AM60" s="18"/>
      <c r="AN60" s="20"/>
      <c r="AO60" s="9"/>
    </row>
    <row r="61" spans="1:41" ht="26.25" customHeight="1">
      <c r="A61" s="145" t="s">
        <v>69</v>
      </c>
      <c r="B61" s="146">
        <v>40</v>
      </c>
      <c r="C61" s="146">
        <v>1.7</v>
      </c>
      <c r="D61" s="147"/>
      <c r="E61" s="147">
        <v>497.51</v>
      </c>
      <c r="F61" s="147"/>
      <c r="G61" s="148"/>
      <c r="H61" s="149"/>
      <c r="I61" s="149"/>
      <c r="J61" s="304">
        <v>1000</v>
      </c>
      <c r="K61" s="304">
        <v>1065</v>
      </c>
      <c r="L61" s="103">
        <f t="shared" si="31"/>
        <v>2.1406604892363972</v>
      </c>
      <c r="M61" s="91">
        <f t="shared" si="9"/>
        <v>19947.063649702792</v>
      </c>
      <c r="N61" s="92">
        <f t="shared" si="24"/>
        <v>18874.640872837048</v>
      </c>
      <c r="O61" s="93">
        <f t="shared" si="21"/>
        <v>17553.416011738456</v>
      </c>
      <c r="P61" s="124"/>
      <c r="Q61" s="125" t="s">
        <v>89</v>
      </c>
      <c r="R61" s="126">
        <v>1.7</v>
      </c>
      <c r="S61" s="307"/>
      <c r="T61" s="308">
        <v>321.54000000000002</v>
      </c>
      <c r="U61" s="114"/>
      <c r="V61" s="127"/>
      <c r="W61" s="114"/>
      <c r="X61" s="128"/>
      <c r="Y61" s="114">
        <v>1000</v>
      </c>
      <c r="Z61" s="114">
        <v>1080</v>
      </c>
      <c r="AA61" s="269">
        <f t="shared" si="32"/>
        <v>3.3588356036573987</v>
      </c>
      <c r="AB61" s="212">
        <f t="shared" si="22"/>
        <v>31298.240852262126</v>
      </c>
      <c r="AC61" s="213">
        <f t="shared" si="23"/>
        <v>29615.539731172765</v>
      </c>
      <c r="AD61" s="220">
        <f t="shared" si="13"/>
        <v>27542.451949990671</v>
      </c>
      <c r="AE61" s="72"/>
      <c r="AJ61" s="22"/>
      <c r="AK61" s="23"/>
      <c r="AL61" s="21"/>
      <c r="AM61" s="18"/>
      <c r="AN61" s="20"/>
      <c r="AO61" s="9"/>
    </row>
    <row r="62" spans="1:41" ht="26.25" customHeight="1">
      <c r="A62" s="170">
        <v>40</v>
      </c>
      <c r="B62" s="123">
        <v>40</v>
      </c>
      <c r="C62" s="123">
        <v>1.7</v>
      </c>
      <c r="D62" s="171">
        <f>F62*E62</f>
        <v>7800011.5310000004</v>
      </c>
      <c r="E62" s="171">
        <v>497.51</v>
      </c>
      <c r="F62" s="241">
        <v>15678.1</v>
      </c>
      <c r="G62" s="121"/>
      <c r="H62" s="122"/>
      <c r="I62" s="122"/>
      <c r="J62" s="122"/>
      <c r="K62" s="122">
        <f>AF40</f>
        <v>1035</v>
      </c>
      <c r="L62" s="103">
        <f>K62/E62</f>
        <v>2.0803601937649496</v>
      </c>
      <c r="M62" s="91">
        <f t="shared" si="9"/>
        <v>19385.17453280976</v>
      </c>
      <c r="N62" s="92">
        <f t="shared" si="24"/>
        <v>18342.960848250092</v>
      </c>
      <c r="O62" s="93">
        <f t="shared" si="21"/>
        <v>17058.953588872588</v>
      </c>
      <c r="P62" s="124"/>
      <c r="Q62" s="125" t="s">
        <v>89</v>
      </c>
      <c r="R62" s="126">
        <v>2</v>
      </c>
      <c r="S62" s="307"/>
      <c r="T62" s="308">
        <v>273.97000000000003</v>
      </c>
      <c r="U62" s="114"/>
      <c r="V62" s="127"/>
      <c r="W62" s="114"/>
      <c r="X62" s="128"/>
      <c r="Y62" s="114">
        <v>1000</v>
      </c>
      <c r="Z62" s="114">
        <v>1130</v>
      </c>
      <c r="AA62" s="269">
        <f t="shared" si="32"/>
        <v>4.1245391831222395</v>
      </c>
      <c r="AB62" s="212">
        <f t="shared" si="22"/>
        <v>38433.206024548141</v>
      </c>
      <c r="AC62" s="213">
        <f t="shared" si="23"/>
        <v>36366.904625378884</v>
      </c>
      <c r="AD62" s="220">
        <f t="shared" si="13"/>
        <v>33821.221301602367</v>
      </c>
      <c r="AE62" s="72"/>
      <c r="AJ62" s="22"/>
      <c r="AK62" s="23"/>
      <c r="AL62" s="21"/>
      <c r="AM62" s="18"/>
      <c r="AN62" s="20"/>
      <c r="AO62" s="9"/>
    </row>
    <row r="63" spans="1:41" ht="26.25" customHeight="1">
      <c r="A63" s="145" t="s">
        <v>69</v>
      </c>
      <c r="B63" s="146">
        <v>40</v>
      </c>
      <c r="C63" s="146">
        <v>2</v>
      </c>
      <c r="D63" s="147"/>
      <c r="E63" s="147">
        <v>429</v>
      </c>
      <c r="F63" s="147"/>
      <c r="G63" s="148"/>
      <c r="H63" s="149"/>
      <c r="I63" s="149"/>
      <c r="J63" s="149">
        <v>1000</v>
      </c>
      <c r="K63" s="149">
        <v>1100</v>
      </c>
      <c r="L63" s="103">
        <f>K63/E63</f>
        <v>2.5641025641025643</v>
      </c>
      <c r="M63" s="91">
        <f t="shared" si="9"/>
        <v>23892.773892773894</v>
      </c>
      <c r="N63" s="92">
        <f t="shared" si="24"/>
        <v>22608.216156603256</v>
      </c>
      <c r="O63" s="93">
        <f t="shared" si="21"/>
        <v>21025.641025641027</v>
      </c>
      <c r="P63" s="124"/>
      <c r="Q63" s="140">
        <v>76</v>
      </c>
      <c r="R63" s="141">
        <v>2.1</v>
      </c>
      <c r="S63" s="113">
        <f>U63*T63</f>
        <v>7700021.7700000005</v>
      </c>
      <c r="T63" s="141">
        <v>261.10000000000002</v>
      </c>
      <c r="U63" s="333">
        <v>29490.7</v>
      </c>
      <c r="V63" s="141"/>
      <c r="W63" s="143"/>
      <c r="X63" s="143"/>
      <c r="Y63" s="136"/>
      <c r="Z63" s="135">
        <f>AG40</f>
        <v>1035</v>
      </c>
      <c r="AA63" s="269">
        <f t="shared" si="32"/>
        <v>3.9639984680199154</v>
      </c>
      <c r="AB63" s="212">
        <f t="shared" si="22"/>
        <v>36937.258452003756</v>
      </c>
      <c r="AC63" s="213">
        <f t="shared" si="23"/>
        <v>34951.384341680969</v>
      </c>
      <c r="AD63" s="220">
        <f t="shared" si="13"/>
        <v>32504.787437763305</v>
      </c>
      <c r="AE63" s="72"/>
      <c r="AF63" s="75"/>
      <c r="AG63" s="328"/>
      <c r="AH63" s="328"/>
      <c r="AI63" s="232"/>
      <c r="AJ63" s="22"/>
      <c r="AK63" s="23"/>
      <c r="AL63" s="21"/>
      <c r="AM63" s="18"/>
      <c r="AN63" s="20"/>
      <c r="AO63" s="9"/>
    </row>
    <row r="64" spans="1:41" ht="29.25" customHeight="1">
      <c r="A64" s="170">
        <v>40</v>
      </c>
      <c r="B64" s="123">
        <v>40</v>
      </c>
      <c r="C64" s="179" t="s">
        <v>2</v>
      </c>
      <c r="D64" s="171">
        <f>F64*E64</f>
        <v>7700019.6800000006</v>
      </c>
      <c r="E64" s="171">
        <v>429.2</v>
      </c>
      <c r="F64" s="241">
        <v>17940.400000000001</v>
      </c>
      <c r="G64" s="121"/>
      <c r="H64" s="122"/>
      <c r="I64" s="122"/>
      <c r="J64" s="122"/>
      <c r="K64" s="122">
        <f>K62</f>
        <v>1035</v>
      </c>
      <c r="L64" s="103">
        <f t="shared" si="31"/>
        <v>2.4114631873252566</v>
      </c>
      <c r="M64" s="91">
        <f t="shared" si="9"/>
        <v>22470.452427348981</v>
      </c>
      <c r="N64" s="92">
        <f t="shared" si="24"/>
        <v>21262.363587168929</v>
      </c>
      <c r="O64" s="93">
        <f t="shared" si="21"/>
        <v>19773.998136067104</v>
      </c>
      <c r="P64" s="124"/>
      <c r="Q64" s="125" t="s">
        <v>89</v>
      </c>
      <c r="R64" s="126">
        <v>3</v>
      </c>
      <c r="S64" s="307"/>
      <c r="T64" s="126">
        <v>185.2</v>
      </c>
      <c r="U64" s="126"/>
      <c r="V64" s="126"/>
      <c r="W64" s="128"/>
      <c r="X64" s="128"/>
      <c r="Y64" s="114">
        <v>1020</v>
      </c>
      <c r="Z64" s="114">
        <v>1090</v>
      </c>
      <c r="AA64" s="269">
        <f t="shared" si="32"/>
        <v>5.8855291576673867</v>
      </c>
      <c r="AB64" s="212">
        <f t="shared" si="22"/>
        <v>54842.430787355195</v>
      </c>
      <c r="AC64" s="213">
        <f t="shared" si="23"/>
        <v>51893.913003088783</v>
      </c>
      <c r="AD64" s="220">
        <f t="shared" si="13"/>
        <v>48261.339092872571</v>
      </c>
      <c r="AE64" s="72"/>
      <c r="AF64" s="75"/>
      <c r="AG64" s="328"/>
      <c r="AH64" s="328"/>
      <c r="AI64" s="232"/>
      <c r="AJ64" s="22"/>
      <c r="AK64" s="23"/>
      <c r="AL64" s="21"/>
      <c r="AM64" s="18"/>
      <c r="AN64" s="20"/>
      <c r="AO64" s="9"/>
    </row>
    <row r="65" spans="1:41" ht="20.25" customHeight="1">
      <c r="A65" s="145" t="s">
        <v>69</v>
      </c>
      <c r="B65" s="146">
        <v>40</v>
      </c>
      <c r="C65" s="161">
        <v>3</v>
      </c>
      <c r="D65" s="147"/>
      <c r="E65" s="147">
        <v>297.62</v>
      </c>
      <c r="F65" s="147"/>
      <c r="G65" s="148"/>
      <c r="H65" s="149"/>
      <c r="I65" s="149"/>
      <c r="J65" s="304">
        <v>1020</v>
      </c>
      <c r="K65" s="149">
        <v>1100</v>
      </c>
      <c r="L65" s="103">
        <f>K65/E65</f>
        <v>3.695988172837847</v>
      </c>
      <c r="M65" s="91">
        <f t="shared" si="9"/>
        <v>34439.889792352667</v>
      </c>
      <c r="N65" s="92">
        <f t="shared" si="24"/>
        <v>32588.282814269187</v>
      </c>
      <c r="O65" s="255">
        <f t="shared" si="21"/>
        <v>30307.103017270347</v>
      </c>
      <c r="P65" s="124"/>
      <c r="Q65" s="111">
        <v>76</v>
      </c>
      <c r="R65" s="112">
        <v>3</v>
      </c>
      <c r="S65" s="113">
        <f>U65*T65</f>
        <v>7600015.3600000003</v>
      </c>
      <c r="T65" s="112">
        <v>185.2</v>
      </c>
      <c r="U65" s="329">
        <v>41036.800000000003</v>
      </c>
      <c r="V65" s="115">
        <f>$AF$46</f>
        <v>0.98</v>
      </c>
      <c r="W65" s="137">
        <f>AG46</f>
        <v>8100</v>
      </c>
      <c r="X65" s="137">
        <f>AH46+15</f>
        <v>130</v>
      </c>
      <c r="Y65" s="163">
        <f>S65*V65/W65+X65</f>
        <v>1049.5080312098767</v>
      </c>
      <c r="Z65" s="116"/>
      <c r="AA65" s="269">
        <f>Y65/T65</f>
        <v>5.6668900173319479</v>
      </c>
      <c r="AB65" s="212">
        <f t="shared" si="22"/>
        <v>52805.1115251386</v>
      </c>
      <c r="AC65" s="213">
        <f t="shared" si="23"/>
        <v>49966.12703453975</v>
      </c>
      <c r="AD65" s="220">
        <f t="shared" si="13"/>
        <v>46468.498142121971</v>
      </c>
      <c r="AE65" s="72"/>
      <c r="AI65" s="232"/>
      <c r="AJ65" s="22"/>
      <c r="AK65" s="23"/>
      <c r="AL65" s="21"/>
      <c r="AM65" s="18"/>
      <c r="AN65" s="20"/>
      <c r="AO65" s="9"/>
    </row>
    <row r="66" spans="1:41" ht="22.5">
      <c r="A66" s="98">
        <v>40</v>
      </c>
      <c r="B66" s="99">
        <v>40</v>
      </c>
      <c r="C66" s="99">
        <v>3</v>
      </c>
      <c r="D66" s="100">
        <f>E66*F66</f>
        <v>7600024.3200000003</v>
      </c>
      <c r="E66" s="100">
        <v>297.62</v>
      </c>
      <c r="F66" s="241">
        <v>25536</v>
      </c>
      <c r="G66" s="101">
        <f>AF46</f>
        <v>0.98</v>
      </c>
      <c r="H66" s="102">
        <f>$AG$46</f>
        <v>8100</v>
      </c>
      <c r="I66" s="102">
        <f>AH46+21</f>
        <v>136</v>
      </c>
      <c r="J66" s="102">
        <f>D66*G66/H66+I66</f>
        <v>1055.5091152592595</v>
      </c>
      <c r="K66" s="109"/>
      <c r="L66" s="103">
        <f>J66/E66</f>
        <v>3.5464992784734206</v>
      </c>
      <c r="M66" s="91">
        <f t="shared" si="9"/>
        <v>33046.925094865961</v>
      </c>
      <c r="N66" s="92">
        <f t="shared" si="24"/>
        <v>31270.208691916177</v>
      </c>
      <c r="O66" s="93">
        <f t="shared" si="21"/>
        <v>29081.294083482047</v>
      </c>
      <c r="P66" s="124"/>
      <c r="Q66" s="111">
        <v>76</v>
      </c>
      <c r="R66" s="112">
        <v>3.5</v>
      </c>
      <c r="S66" s="113">
        <f>U66*T66</f>
        <v>7600011.21</v>
      </c>
      <c r="T66" s="112">
        <v>159.69999999999999</v>
      </c>
      <c r="U66" s="329">
        <v>47589.3</v>
      </c>
      <c r="V66" s="115">
        <f>$AF$46</f>
        <v>0.98</v>
      </c>
      <c r="W66" s="137">
        <f>$AG$46</f>
        <v>8100</v>
      </c>
      <c r="X66" s="137">
        <f>X65</f>
        <v>130</v>
      </c>
      <c r="Y66" s="163">
        <f>S66*V66/W66+X66</f>
        <v>1049.5075291111111</v>
      </c>
      <c r="Z66" s="116"/>
      <c r="AA66" s="269">
        <f>Y66/T66</f>
        <v>6.5717440770889866</v>
      </c>
      <c r="AB66" s="212">
        <f t="shared" si="22"/>
        <v>61236.706172874641</v>
      </c>
      <c r="AC66" s="213">
        <f t="shared" si="23"/>
        <v>57944.410142074928</v>
      </c>
      <c r="AD66" s="220">
        <f t="shared" si="13"/>
        <v>53888.301432129687</v>
      </c>
      <c r="AE66" s="72"/>
      <c r="AF66" s="75"/>
      <c r="AG66" s="328"/>
      <c r="AH66" s="328"/>
      <c r="AI66" s="250"/>
      <c r="AJ66" s="22"/>
      <c r="AK66" s="23"/>
      <c r="AL66" s="21"/>
      <c r="AM66" s="18"/>
      <c r="AN66" s="20"/>
      <c r="AO66" s="9"/>
    </row>
    <row r="67" spans="1:41" ht="23.25" customHeight="1" thickBot="1">
      <c r="A67" s="104">
        <v>40</v>
      </c>
      <c r="B67" s="105">
        <v>60</v>
      </c>
      <c r="C67" s="105">
        <v>1.5</v>
      </c>
      <c r="D67" s="106"/>
      <c r="E67" s="106">
        <v>444.44</v>
      </c>
      <c r="F67" s="120">
        <f>D67/E67</f>
        <v>0</v>
      </c>
      <c r="G67" s="107"/>
      <c r="H67" s="108"/>
      <c r="I67" s="108"/>
      <c r="J67" s="109"/>
      <c r="K67" s="108">
        <f>K60</f>
        <v>1085</v>
      </c>
      <c r="L67" s="103">
        <f>K67/E67</f>
        <v>2.4412744127441273</v>
      </c>
      <c r="M67" s="91">
        <f t="shared" si="9"/>
        <v>22748.238846024822</v>
      </c>
      <c r="N67" s="92">
        <f t="shared" si="24"/>
        <v>21525.215252152517</v>
      </c>
      <c r="O67" s="93">
        <f t="shared" si="21"/>
        <v>20018.450184501842</v>
      </c>
      <c r="P67" s="124"/>
      <c r="Q67" s="125" t="s">
        <v>90</v>
      </c>
      <c r="R67" s="165">
        <v>4</v>
      </c>
      <c r="S67" s="307"/>
      <c r="T67" s="126">
        <v>140.84</v>
      </c>
      <c r="U67" s="114"/>
      <c r="V67" s="127"/>
      <c r="W67" s="128"/>
      <c r="X67" s="128"/>
      <c r="Y67" s="165">
        <v>1020</v>
      </c>
      <c r="Z67" s="114">
        <v>1130</v>
      </c>
      <c r="AA67" s="269">
        <f>Z67/T67</f>
        <v>8.023288838398182</v>
      </c>
      <c r="AB67" s="212">
        <f t="shared" ref="AB67:AB92" si="33">AD67/0.88</f>
        <v>74762.464175983056</v>
      </c>
      <c r="AC67" s="213">
        <f t="shared" ref="AC67:AC92" si="34">AD67/0.93</f>
        <v>70742.976854693639</v>
      </c>
      <c r="AD67" s="220">
        <f t="shared" si="13"/>
        <v>65790.968474865091</v>
      </c>
      <c r="AE67" s="72"/>
      <c r="AI67" s="9"/>
      <c r="AJ67" s="22"/>
      <c r="AK67" s="23"/>
      <c r="AL67" s="21"/>
      <c r="AM67" s="18"/>
      <c r="AN67" s="20"/>
      <c r="AO67" s="9"/>
    </row>
    <row r="68" spans="1:41" ht="24.75" customHeight="1">
      <c r="A68" s="170">
        <v>40</v>
      </c>
      <c r="B68" s="123">
        <v>60</v>
      </c>
      <c r="C68" s="123">
        <v>1.7</v>
      </c>
      <c r="D68" s="171">
        <f t="shared" ref="D68:D74" si="35">F68*E68</f>
        <v>7800023.7699999996</v>
      </c>
      <c r="E68" s="171">
        <v>393.7</v>
      </c>
      <c r="F68" s="241">
        <v>19812.099999999999</v>
      </c>
      <c r="G68" s="121"/>
      <c r="H68" s="122"/>
      <c r="I68" s="122"/>
      <c r="J68" s="122"/>
      <c r="K68" s="122">
        <f>AF40</f>
        <v>1035</v>
      </c>
      <c r="L68" s="103">
        <f>K68/E68</f>
        <v>2.6289052578105156</v>
      </c>
      <c r="M68" s="91">
        <f t="shared" si="9"/>
        <v>24496.617175052532</v>
      </c>
      <c r="N68" s="92">
        <f t="shared" si="24"/>
        <v>23179.594746286264</v>
      </c>
      <c r="O68" s="93">
        <f t="shared" si="21"/>
        <v>21557.023114046227</v>
      </c>
      <c r="P68" s="124"/>
      <c r="Q68" s="140">
        <v>89</v>
      </c>
      <c r="R68" s="141">
        <v>2.1</v>
      </c>
      <c r="S68" s="113">
        <f>U68*T68</f>
        <v>7700007.6999999993</v>
      </c>
      <c r="T68" s="141">
        <v>222.2</v>
      </c>
      <c r="U68" s="333">
        <v>34653.5</v>
      </c>
      <c r="V68" s="141"/>
      <c r="W68" s="141"/>
      <c r="X68" s="141"/>
      <c r="Y68" s="141"/>
      <c r="Z68" s="135">
        <f>Z63</f>
        <v>1035</v>
      </c>
      <c r="AA68" s="269">
        <f>Z68/T68</f>
        <v>4.6579657965796581</v>
      </c>
      <c r="AB68" s="212">
        <f t="shared" si="33"/>
        <v>43403.772195401361</v>
      </c>
      <c r="AC68" s="213">
        <f t="shared" si="34"/>
        <v>41070.23605586365</v>
      </c>
      <c r="AD68" s="220">
        <f t="shared" ref="AD68:AD83" si="36">AA68*$AG$17</f>
        <v>38195.319531953195</v>
      </c>
      <c r="AE68" s="72"/>
      <c r="AF68" s="10" t="s">
        <v>22</v>
      </c>
      <c r="AG68" s="11" t="s">
        <v>31</v>
      </c>
      <c r="AH68" s="11" t="s">
        <v>24</v>
      </c>
      <c r="AI68" s="398" t="s">
        <v>35</v>
      </c>
      <c r="AJ68" s="22"/>
      <c r="AK68" s="23"/>
      <c r="AL68" s="21"/>
      <c r="AM68" s="18"/>
      <c r="AN68" s="20"/>
      <c r="AO68" s="9"/>
    </row>
    <row r="69" spans="1:41" ht="34.5" customHeight="1">
      <c r="A69" s="170">
        <v>40</v>
      </c>
      <c r="B69" s="123">
        <v>60</v>
      </c>
      <c r="C69" s="179" t="s">
        <v>2</v>
      </c>
      <c r="D69" s="171">
        <f t="shared" si="35"/>
        <v>7700015.8799999999</v>
      </c>
      <c r="E69" s="171">
        <v>337.8</v>
      </c>
      <c r="F69" s="241">
        <v>22794.6</v>
      </c>
      <c r="G69" s="121"/>
      <c r="H69" s="122"/>
      <c r="I69" s="122"/>
      <c r="J69" s="122"/>
      <c r="K69" s="122">
        <f>AF40</f>
        <v>1035</v>
      </c>
      <c r="L69" s="103">
        <f>K69/E69</f>
        <v>3.0639431616341031</v>
      </c>
      <c r="M69" s="91">
        <f t="shared" si="9"/>
        <v>28550.379460681415</v>
      </c>
      <c r="N69" s="92">
        <f t="shared" si="24"/>
        <v>27015.412823010371</v>
      </c>
      <c r="O69" s="93">
        <f t="shared" ref="O69:O80" si="37">L69*$AG$17</f>
        <v>25124.333925399646</v>
      </c>
      <c r="P69" s="124"/>
      <c r="Q69" s="162" t="s">
        <v>64</v>
      </c>
      <c r="R69" s="165">
        <v>3</v>
      </c>
      <c r="S69" s="307">
        <f ca="1">U69*T69</f>
        <v>0</v>
      </c>
      <c r="T69" s="165">
        <v>157.19999999999999</v>
      </c>
      <c r="U69" s="114">
        <f ca="1">S69/T69</f>
        <v>0</v>
      </c>
      <c r="V69" s="165"/>
      <c r="W69" s="165"/>
      <c r="X69" s="165"/>
      <c r="Y69" s="165">
        <v>1020</v>
      </c>
      <c r="Z69" s="165">
        <v>1080</v>
      </c>
      <c r="AA69" s="269">
        <f>Z69/T69</f>
        <v>6.8702290076335881</v>
      </c>
      <c r="AB69" s="212">
        <f t="shared" si="33"/>
        <v>64018.043025676612</v>
      </c>
      <c r="AC69" s="213">
        <f t="shared" si="34"/>
        <v>60576.212755478948</v>
      </c>
      <c r="AD69" s="220">
        <f t="shared" si="36"/>
        <v>56335.877862595422</v>
      </c>
      <c r="AE69" s="72"/>
      <c r="AF69" s="256"/>
      <c r="AG69" s="257"/>
      <c r="AH69" s="257"/>
      <c r="AI69" s="398"/>
      <c r="AJ69" s="22"/>
      <c r="AK69" s="23"/>
      <c r="AL69" s="21"/>
      <c r="AM69" s="18"/>
      <c r="AN69" s="20"/>
      <c r="AO69" s="9"/>
    </row>
    <row r="70" spans="1:41" ht="21.75" customHeight="1" thickBot="1">
      <c r="A70" s="98">
        <v>40</v>
      </c>
      <c r="B70" s="99">
        <v>60</v>
      </c>
      <c r="C70" s="99">
        <v>2.5</v>
      </c>
      <c r="D70" s="100">
        <f t="shared" si="35"/>
        <v>7600015.0199999996</v>
      </c>
      <c r="E70" s="100">
        <v>274.7</v>
      </c>
      <c r="F70" s="241">
        <v>27666.6</v>
      </c>
      <c r="G70" s="101">
        <f>AF46</f>
        <v>0.98</v>
      </c>
      <c r="H70" s="102">
        <f>$AG$46</f>
        <v>8100</v>
      </c>
      <c r="I70" s="102">
        <f>AH46+21</f>
        <v>136</v>
      </c>
      <c r="J70" s="102">
        <f>D70*G70/H70+I70</f>
        <v>1055.5079900740739</v>
      </c>
      <c r="K70" s="109"/>
      <c r="L70" s="103">
        <f>J70/E70</f>
        <v>3.8424025849074406</v>
      </c>
      <c r="M70" s="91">
        <f t="shared" si="9"/>
        <v>35804.205904819333</v>
      </c>
      <c r="N70" s="92">
        <f t="shared" si="24"/>
        <v>33879.248598108614</v>
      </c>
      <c r="O70" s="93">
        <f t="shared" si="37"/>
        <v>31507.701196241014</v>
      </c>
      <c r="P70" s="124"/>
      <c r="Q70" s="111">
        <v>89</v>
      </c>
      <c r="R70" s="163">
        <v>3</v>
      </c>
      <c r="S70" s="113">
        <f>U70*T70</f>
        <v>7600006.919999999</v>
      </c>
      <c r="T70" s="112">
        <v>157.19999999999999</v>
      </c>
      <c r="U70" s="329">
        <v>48346.1</v>
      </c>
      <c r="V70" s="115">
        <f>$AF$46</f>
        <v>0.98</v>
      </c>
      <c r="W70" s="137">
        <f>$AG$46</f>
        <v>8100</v>
      </c>
      <c r="X70" s="137">
        <f>$AH$46</f>
        <v>115</v>
      </c>
      <c r="Y70" s="163">
        <f>S70*V70/W70+X70</f>
        <v>1034.5070100740738</v>
      </c>
      <c r="Z70" s="164"/>
      <c r="AA70" s="269">
        <f>Y70/T70</f>
        <v>6.5808333974177726</v>
      </c>
      <c r="AB70" s="212">
        <f t="shared" si="33"/>
        <v>61321.40211230197</v>
      </c>
      <c r="AC70" s="213">
        <f t="shared" si="34"/>
        <v>58024.552536371753</v>
      </c>
      <c r="AD70" s="220">
        <f t="shared" si="36"/>
        <v>53962.833858825732</v>
      </c>
      <c r="AE70" s="72"/>
      <c r="AF70" s="12">
        <v>0.92</v>
      </c>
      <c r="AG70" s="13">
        <v>8100</v>
      </c>
      <c r="AH70" s="13">
        <v>50</v>
      </c>
      <c r="AI70" s="398"/>
      <c r="AJ70" s="9"/>
      <c r="AK70" s="18"/>
      <c r="AL70" s="18"/>
      <c r="AM70" s="18"/>
      <c r="AN70" s="18"/>
      <c r="AO70" s="9"/>
    </row>
    <row r="71" spans="1:41" ht="24" customHeight="1">
      <c r="A71" s="170">
        <v>40</v>
      </c>
      <c r="B71" s="123">
        <v>80</v>
      </c>
      <c r="C71" s="123" t="s">
        <v>6</v>
      </c>
      <c r="D71" s="171">
        <f t="shared" si="35"/>
        <v>7800028.2990000006</v>
      </c>
      <c r="E71" s="171">
        <v>325.73</v>
      </c>
      <c r="F71" s="241">
        <v>23946.3</v>
      </c>
      <c r="G71" s="121"/>
      <c r="H71" s="122"/>
      <c r="I71" s="122"/>
      <c r="J71" s="109"/>
      <c r="K71" s="122">
        <f>AF40</f>
        <v>1035</v>
      </c>
      <c r="L71" s="103">
        <f>K71/E71</f>
        <v>3.1774782795566878</v>
      </c>
      <c r="M71" s="91">
        <f t="shared" si="9"/>
        <v>29608.320332232775</v>
      </c>
      <c r="N71" s="92">
        <f t="shared" si="24"/>
        <v>28016.475153080475</v>
      </c>
      <c r="O71" s="93">
        <f t="shared" si="37"/>
        <v>26055.321892364842</v>
      </c>
      <c r="P71" s="124"/>
      <c r="Q71" s="111">
        <v>89</v>
      </c>
      <c r="R71" s="112">
        <v>3.5</v>
      </c>
      <c r="S71" s="113">
        <f>U71*T71</f>
        <v>7600005.2999999998</v>
      </c>
      <c r="T71" s="112">
        <v>135.5</v>
      </c>
      <c r="U71" s="329">
        <v>56088.6</v>
      </c>
      <c r="V71" s="115">
        <f>V70</f>
        <v>0.98</v>
      </c>
      <c r="W71" s="137">
        <f>$AG$46</f>
        <v>8100</v>
      </c>
      <c r="X71" s="137">
        <f>X70</f>
        <v>115</v>
      </c>
      <c r="Y71" s="163">
        <f>S71*V71/W71+X71</f>
        <v>1034.5068140740741</v>
      </c>
      <c r="Z71" s="164"/>
      <c r="AA71" s="269">
        <f>Y71/T71</f>
        <v>7.6347366352330193</v>
      </c>
      <c r="AB71" s="212">
        <f t="shared" si="33"/>
        <v>71141.864101034953</v>
      </c>
      <c r="AC71" s="213">
        <f t="shared" si="34"/>
        <v>67317.032697753501</v>
      </c>
      <c r="AD71" s="220">
        <f t="shared" si="36"/>
        <v>62604.840408910757</v>
      </c>
      <c r="AE71" s="72"/>
      <c r="AF71" s="41"/>
      <c r="AG71" s="52"/>
      <c r="AH71" s="52"/>
      <c r="AI71" s="242"/>
      <c r="AJ71" s="9"/>
      <c r="AK71" s="18"/>
      <c r="AL71" s="18"/>
      <c r="AM71" s="18"/>
      <c r="AN71" s="18"/>
      <c r="AO71" s="9"/>
    </row>
    <row r="72" spans="1:41" ht="22.5">
      <c r="A72" s="170">
        <v>40</v>
      </c>
      <c r="B72" s="123">
        <v>80</v>
      </c>
      <c r="C72" s="179">
        <v>2</v>
      </c>
      <c r="D72" s="171">
        <f t="shared" si="35"/>
        <v>7700013.3600000003</v>
      </c>
      <c r="E72" s="171">
        <v>278.55</v>
      </c>
      <c r="F72" s="241">
        <v>27643.200000000001</v>
      </c>
      <c r="G72" s="121"/>
      <c r="H72" s="122"/>
      <c r="I72" s="122"/>
      <c r="J72" s="122"/>
      <c r="K72" s="122">
        <f>AF40</f>
        <v>1035</v>
      </c>
      <c r="L72" s="103">
        <f>K72/E72</f>
        <v>3.7156704361873989</v>
      </c>
      <c r="M72" s="91">
        <f t="shared" si="9"/>
        <v>34623.292700837126</v>
      </c>
      <c r="N72" s="92">
        <f t="shared" si="24"/>
        <v>32761.825351329753</v>
      </c>
      <c r="O72" s="93">
        <f t="shared" si="37"/>
        <v>30468.49757673667</v>
      </c>
      <c r="P72" s="124"/>
      <c r="Q72" s="169">
        <v>102</v>
      </c>
      <c r="R72" s="254">
        <v>2</v>
      </c>
      <c r="S72" s="166"/>
      <c r="T72" s="167">
        <v>202.84</v>
      </c>
      <c r="U72" s="144"/>
      <c r="V72" s="253"/>
      <c r="W72" s="168"/>
      <c r="X72" s="168"/>
      <c r="Y72" s="254">
        <v>1100</v>
      </c>
      <c r="Z72" s="254">
        <v>1300</v>
      </c>
      <c r="AA72" s="269">
        <f>Y72/T72</f>
        <v>5.4229934924078087</v>
      </c>
      <c r="AB72" s="212">
        <f>AD72/0.88</f>
        <v>50532.439361072764</v>
      </c>
      <c r="AC72" s="213">
        <f>AD72/0.93</f>
        <v>47815.64154596132</v>
      </c>
      <c r="AD72" s="220">
        <f>AA72*$AG$17</f>
        <v>44468.546637744032</v>
      </c>
      <c r="AE72" s="72"/>
      <c r="AF72" s="41">
        <v>0.92</v>
      </c>
      <c r="AG72" s="52">
        <v>8100</v>
      </c>
      <c r="AH72" s="52">
        <v>50</v>
      </c>
      <c r="AI72" s="54"/>
      <c r="AJ72" s="9"/>
      <c r="AK72" s="18"/>
      <c r="AL72" s="18"/>
      <c r="AM72" s="18"/>
      <c r="AN72" s="18"/>
      <c r="AO72" s="9"/>
    </row>
    <row r="73" spans="1:41" ht="24.75" customHeight="1">
      <c r="A73" s="98">
        <v>40</v>
      </c>
      <c r="B73" s="99">
        <v>80</v>
      </c>
      <c r="C73" s="175">
        <v>2.5</v>
      </c>
      <c r="D73" s="100">
        <f t="shared" si="35"/>
        <v>7600013.0779999997</v>
      </c>
      <c r="E73" s="100">
        <v>225.73</v>
      </c>
      <c r="F73" s="241">
        <v>33668.6</v>
      </c>
      <c r="G73" s="101">
        <f>AF46</f>
        <v>0.98</v>
      </c>
      <c r="H73" s="102">
        <f>$AG$46</f>
        <v>8100</v>
      </c>
      <c r="I73" s="102">
        <f>AH46+21</f>
        <v>136</v>
      </c>
      <c r="J73" s="102">
        <f>D73*G73/H73+I73</f>
        <v>1055.5077551160493</v>
      </c>
      <c r="K73" s="109"/>
      <c r="L73" s="103">
        <f>J73/E73</f>
        <v>4.6759746383557763</v>
      </c>
      <c r="M73" s="91">
        <f t="shared" si="9"/>
        <v>43571.581857406098</v>
      </c>
      <c r="N73" s="92">
        <f t="shared" si="24"/>
        <v>41229.023693029427</v>
      </c>
      <c r="O73" s="93">
        <f t="shared" si="37"/>
        <v>38342.992034517367</v>
      </c>
      <c r="P73" s="124"/>
      <c r="Q73" s="160" t="s">
        <v>52</v>
      </c>
      <c r="R73" s="165">
        <v>2</v>
      </c>
      <c r="S73" s="307">
        <f t="shared" ref="S73:S78" si="38">U73*T73</f>
        <v>0</v>
      </c>
      <c r="T73" s="126">
        <v>202.84</v>
      </c>
      <c r="U73" s="114"/>
      <c r="V73" s="127"/>
      <c r="W73" s="128"/>
      <c r="X73" s="128"/>
      <c r="Y73" s="114">
        <v>1020</v>
      </c>
      <c r="Z73" s="165">
        <f>1130</f>
        <v>1130</v>
      </c>
      <c r="AA73" s="269">
        <f>Z73/T73</f>
        <v>5.5708933149280222</v>
      </c>
      <c r="AB73" s="212">
        <f t="shared" si="33"/>
        <v>51910.596798192935</v>
      </c>
      <c r="AC73" s="213">
        <f t="shared" si="34"/>
        <v>49119.704497214814</v>
      </c>
      <c r="AD73" s="220">
        <f t="shared" si="36"/>
        <v>45681.325182409782</v>
      </c>
      <c r="AE73" s="72"/>
      <c r="AF73" s="41"/>
      <c r="AG73" s="52"/>
      <c r="AH73" s="52"/>
      <c r="AI73" s="232"/>
      <c r="AJ73" s="9"/>
      <c r="AK73" s="18"/>
      <c r="AL73" s="18"/>
      <c r="AM73" s="18"/>
      <c r="AN73" s="18"/>
      <c r="AO73" s="9"/>
    </row>
    <row r="74" spans="1:41" ht="18" customHeight="1" thickBot="1">
      <c r="A74" s="98">
        <v>40</v>
      </c>
      <c r="B74" s="99">
        <v>80</v>
      </c>
      <c r="C74" s="175">
        <v>3</v>
      </c>
      <c r="D74" s="100">
        <f t="shared" si="35"/>
        <v>7600018.6639999999</v>
      </c>
      <c r="E74" s="100">
        <v>190.48</v>
      </c>
      <c r="F74" s="241">
        <v>39899.300000000003</v>
      </c>
      <c r="G74" s="101">
        <f>AF46</f>
        <v>0.98</v>
      </c>
      <c r="H74" s="102">
        <f>$AG$46</f>
        <v>8100</v>
      </c>
      <c r="I74" s="102">
        <f>AH46+21</f>
        <v>136</v>
      </c>
      <c r="J74" s="102">
        <f>D74*G74/H74+I74</f>
        <v>1055.5084309530864</v>
      </c>
      <c r="K74" s="109"/>
      <c r="L74" s="103">
        <f>J74/E74</f>
        <v>5.5413084363349769</v>
      </c>
      <c r="M74" s="91">
        <f t="shared" si="9"/>
        <v>51634.919520394105</v>
      </c>
      <c r="N74" s="92">
        <f t="shared" si="24"/>
        <v>48858.848578437435</v>
      </c>
      <c r="O74" s="93">
        <f t="shared" si="37"/>
        <v>45438.729177946814</v>
      </c>
      <c r="P74" s="124"/>
      <c r="Q74" s="160" t="s">
        <v>62</v>
      </c>
      <c r="R74" s="165">
        <v>2</v>
      </c>
      <c r="S74" s="307">
        <f t="shared" si="38"/>
        <v>0</v>
      </c>
      <c r="T74" s="126">
        <v>202.84</v>
      </c>
      <c r="U74" s="114"/>
      <c r="V74" s="127"/>
      <c r="W74" s="128"/>
      <c r="X74" s="128"/>
      <c r="Y74" s="165">
        <v>1020</v>
      </c>
      <c r="Z74" s="165">
        <v>1130</v>
      </c>
      <c r="AA74" s="269">
        <f>Z74/T74</f>
        <v>5.5708933149280222</v>
      </c>
      <c r="AB74" s="212">
        <f t="shared" si="33"/>
        <v>51910.596798192935</v>
      </c>
      <c r="AC74" s="213">
        <f t="shared" si="34"/>
        <v>49119.704497214814</v>
      </c>
      <c r="AD74" s="220">
        <f t="shared" si="36"/>
        <v>45681.325182409782</v>
      </c>
      <c r="AE74" s="72"/>
      <c r="AK74" s="19"/>
      <c r="AL74" s="19"/>
      <c r="AM74" s="19"/>
      <c r="AN74" s="18"/>
      <c r="AO74" s="9"/>
    </row>
    <row r="75" spans="1:41" ht="25.5" customHeight="1">
      <c r="A75" s="98">
        <v>50</v>
      </c>
      <c r="B75" s="99">
        <v>25</v>
      </c>
      <c r="C75" s="99" t="s">
        <v>4</v>
      </c>
      <c r="D75" s="100">
        <f>F75*E75</f>
        <v>8300061.9900000012</v>
      </c>
      <c r="E75" s="100">
        <v>740.7</v>
      </c>
      <c r="F75" s="241">
        <v>11205.7</v>
      </c>
      <c r="G75" s="101">
        <f>AF46</f>
        <v>0.98</v>
      </c>
      <c r="H75" s="102">
        <f>$AG$46</f>
        <v>8100</v>
      </c>
      <c r="I75" s="102">
        <f>$AH$46</f>
        <v>115</v>
      </c>
      <c r="J75" s="102">
        <f>D75*G75/H75+I75</f>
        <v>1119.2050308888888</v>
      </c>
      <c r="K75" s="109"/>
      <c r="L75" s="103">
        <f>J75/E75</f>
        <v>1.5110098972443482</v>
      </c>
      <c r="M75" s="91">
        <f t="shared" si="9"/>
        <v>14079.864951595062</v>
      </c>
      <c r="N75" s="92">
        <f t="shared" si="24"/>
        <v>13322.882964950166</v>
      </c>
      <c r="O75" s="93">
        <f t="shared" si="37"/>
        <v>12390.281157403655</v>
      </c>
      <c r="P75" s="124"/>
      <c r="Q75" s="160" t="s">
        <v>67</v>
      </c>
      <c r="R75" s="165">
        <v>3</v>
      </c>
      <c r="S75" s="307">
        <f t="shared" si="38"/>
        <v>0</v>
      </c>
      <c r="T75" s="126">
        <v>136.6</v>
      </c>
      <c r="U75" s="114"/>
      <c r="V75" s="127"/>
      <c r="W75" s="128"/>
      <c r="X75" s="146"/>
      <c r="Y75" s="165">
        <v>1020</v>
      </c>
      <c r="Z75" s="165">
        <v>1080</v>
      </c>
      <c r="AA75" s="269">
        <f>Z75/T75</f>
        <v>7.9062957540263543</v>
      </c>
      <c r="AB75" s="212">
        <f t="shared" si="33"/>
        <v>73672.301344336476</v>
      </c>
      <c r="AC75" s="213">
        <f t="shared" si="34"/>
        <v>69711.424927974309</v>
      </c>
      <c r="AD75" s="220">
        <f t="shared" si="36"/>
        <v>64831.625183016105</v>
      </c>
      <c r="AE75" s="72"/>
      <c r="AF75" s="14" t="s">
        <v>22</v>
      </c>
      <c r="AG75" s="15" t="s">
        <v>31</v>
      </c>
      <c r="AH75" s="15" t="s">
        <v>24</v>
      </c>
      <c r="AI75" s="398" t="s">
        <v>33</v>
      </c>
      <c r="AK75" s="19"/>
      <c r="AL75" s="19"/>
      <c r="AM75" s="19"/>
      <c r="AN75" s="18"/>
      <c r="AO75" s="9"/>
    </row>
    <row r="76" spans="1:41" ht="20.25" customHeight="1" thickBot="1">
      <c r="A76" s="104">
        <v>50</v>
      </c>
      <c r="B76" s="105">
        <v>25</v>
      </c>
      <c r="C76" s="105">
        <v>1.5</v>
      </c>
      <c r="D76" s="106"/>
      <c r="E76" s="106">
        <v>598.79999999999995</v>
      </c>
      <c r="F76" s="120">
        <f>D76/E76</f>
        <v>0</v>
      </c>
      <c r="G76" s="107"/>
      <c r="H76" s="108"/>
      <c r="I76" s="108"/>
      <c r="J76" s="109"/>
      <c r="K76" s="110">
        <f>AH40</f>
        <v>1085</v>
      </c>
      <c r="L76" s="103">
        <f t="shared" ref="L76:L88" si="39">K76/E76</f>
        <v>1.8119572478289914</v>
      </c>
      <c r="M76" s="91">
        <f t="shared" ref="M76:M93" si="40">O76/0.88</f>
        <v>16884.147082042873</v>
      </c>
      <c r="N76" s="92">
        <f t="shared" si="24"/>
        <v>15976.397238922289</v>
      </c>
      <c r="O76" s="93">
        <f t="shared" si="37"/>
        <v>14858.049432197729</v>
      </c>
      <c r="P76" s="124"/>
      <c r="Q76" s="111">
        <v>100</v>
      </c>
      <c r="R76" s="112">
        <v>3</v>
      </c>
      <c r="S76" s="113">
        <f t="shared" si="38"/>
        <v>7600410.3399999999</v>
      </c>
      <c r="T76" s="112">
        <v>136.6</v>
      </c>
      <c r="U76" s="329">
        <v>55639.9</v>
      </c>
      <c r="V76" s="115">
        <f>$AF$46</f>
        <v>0.98</v>
      </c>
      <c r="W76" s="137">
        <f>AG46</f>
        <v>8100</v>
      </c>
      <c r="X76" s="137">
        <f>X78</f>
        <v>130</v>
      </c>
      <c r="Y76" s="262">
        <f>S76*V76/W76+X76</f>
        <v>1049.5558189135802</v>
      </c>
      <c r="Z76" s="164"/>
      <c r="AA76" s="269">
        <f>Y76/T76</f>
        <v>7.6834247358241603</v>
      </c>
      <c r="AB76" s="212">
        <f t="shared" si="33"/>
        <v>71595.548674725127</v>
      </c>
      <c r="AC76" s="213">
        <f t="shared" si="34"/>
        <v>67746.32562769689</v>
      </c>
      <c r="AD76" s="220">
        <f t="shared" si="36"/>
        <v>63004.082833758112</v>
      </c>
      <c r="AE76" s="72"/>
      <c r="AF76" s="16">
        <v>0.92</v>
      </c>
      <c r="AG76" s="17">
        <v>8100</v>
      </c>
      <c r="AH76" s="17">
        <v>100</v>
      </c>
      <c r="AI76" s="398"/>
      <c r="AK76" s="19"/>
      <c r="AL76" s="19"/>
      <c r="AM76" s="19"/>
      <c r="AN76" s="18"/>
      <c r="AO76" s="9"/>
    </row>
    <row r="77" spans="1:41" ht="25.5" customHeight="1">
      <c r="A77" s="170">
        <v>50</v>
      </c>
      <c r="B77" s="123">
        <v>25</v>
      </c>
      <c r="C77" s="123" t="s">
        <v>6</v>
      </c>
      <c r="D77" s="171">
        <f>F77*E77</f>
        <v>7800004.5199999996</v>
      </c>
      <c r="E77" s="171">
        <v>534.79999999999995</v>
      </c>
      <c r="F77" s="241">
        <v>14584.9</v>
      </c>
      <c r="G77" s="121"/>
      <c r="H77" s="122"/>
      <c r="I77" s="122"/>
      <c r="J77" s="122"/>
      <c r="K77" s="122">
        <f>K72</f>
        <v>1035</v>
      </c>
      <c r="L77" s="103">
        <f t="shared" si="39"/>
        <v>1.9353029169783098</v>
      </c>
      <c r="M77" s="91">
        <f t="shared" si="40"/>
        <v>18033.504453661524</v>
      </c>
      <c r="N77" s="92">
        <f t="shared" si="24"/>
        <v>17063.961203464667</v>
      </c>
      <c r="O77" s="93">
        <f t="shared" si="37"/>
        <v>15869.483919222141</v>
      </c>
      <c r="P77" s="124"/>
      <c r="Q77" s="125" t="s">
        <v>51</v>
      </c>
      <c r="R77" s="126">
        <v>3.2</v>
      </c>
      <c r="S77" s="307">
        <f t="shared" si="38"/>
        <v>0</v>
      </c>
      <c r="T77" s="126">
        <v>128.19999999999999</v>
      </c>
      <c r="U77" s="114"/>
      <c r="V77" s="127"/>
      <c r="W77" s="128"/>
      <c r="X77" s="128"/>
      <c r="Y77" s="114">
        <v>1020</v>
      </c>
      <c r="Z77" s="165">
        <v>1130</v>
      </c>
      <c r="AA77" s="269">
        <f>Z77/T77</f>
        <v>8.8143525741029656</v>
      </c>
      <c r="AB77" s="212">
        <f t="shared" si="33"/>
        <v>82133.73989505037</v>
      </c>
      <c r="AC77" s="213">
        <f t="shared" si="34"/>
        <v>77717.947427574531</v>
      </c>
      <c r="AD77" s="220">
        <f t="shared" si="36"/>
        <v>72277.691107644321</v>
      </c>
      <c r="AE77" s="72"/>
      <c r="AF77" s="41"/>
      <c r="AG77" s="52"/>
      <c r="AH77" s="52"/>
      <c r="AI77" s="398"/>
      <c r="AK77" s="19"/>
      <c r="AL77" s="19"/>
      <c r="AM77" s="19"/>
      <c r="AN77" s="18"/>
      <c r="AO77" s="9"/>
    </row>
    <row r="78" spans="1:41" ht="24" customHeight="1">
      <c r="A78" s="207">
        <v>50</v>
      </c>
      <c r="B78" s="208">
        <v>25</v>
      </c>
      <c r="C78" s="208">
        <v>2</v>
      </c>
      <c r="D78" s="171">
        <f>F78*E78</f>
        <v>7700014.0799999991</v>
      </c>
      <c r="E78" s="171">
        <v>460.8</v>
      </c>
      <c r="F78" s="241">
        <v>16710.099999999999</v>
      </c>
      <c r="G78" s="121"/>
      <c r="H78" s="122"/>
      <c r="I78" s="122"/>
      <c r="J78" s="122"/>
      <c r="K78" s="122">
        <f>K77</f>
        <v>1035</v>
      </c>
      <c r="L78" s="103">
        <f t="shared" si="39"/>
        <v>2.24609375</v>
      </c>
      <c r="M78" s="91">
        <f t="shared" si="40"/>
        <v>20929.50994318182</v>
      </c>
      <c r="N78" s="92">
        <f t="shared" si="24"/>
        <v>19804.267473118278</v>
      </c>
      <c r="O78" s="93">
        <f t="shared" si="37"/>
        <v>18417.96875</v>
      </c>
      <c r="P78" s="124"/>
      <c r="Q78" s="111">
        <v>100</v>
      </c>
      <c r="R78" s="112">
        <v>3.5</v>
      </c>
      <c r="S78" s="113">
        <f t="shared" si="38"/>
        <v>7600005.8399999999</v>
      </c>
      <c r="T78" s="112">
        <v>117.6</v>
      </c>
      <c r="U78" s="329">
        <v>64625.9</v>
      </c>
      <c r="V78" s="115">
        <f>AF46</f>
        <v>0.98</v>
      </c>
      <c r="W78" s="137">
        <f>AG46</f>
        <v>8100</v>
      </c>
      <c r="X78" s="137">
        <f>AH46+15</f>
        <v>130</v>
      </c>
      <c r="Y78" s="163">
        <f>S78*V78/W78+X78</f>
        <v>1049.5068794074073</v>
      </c>
      <c r="Z78" s="164"/>
      <c r="AA78" s="269">
        <f>Y78/T78</f>
        <v>8.924378226253463</v>
      </c>
      <c r="AB78" s="212">
        <f t="shared" si="33"/>
        <v>83158.978926452721</v>
      </c>
      <c r="AC78" s="213">
        <f t="shared" si="34"/>
        <v>78688.066080944496</v>
      </c>
      <c r="AD78" s="220">
        <f t="shared" si="36"/>
        <v>73179.901455278392</v>
      </c>
      <c r="AE78" s="72"/>
      <c r="AF78" s="59">
        <v>0.92</v>
      </c>
      <c r="AG78" s="52">
        <v>8100</v>
      </c>
      <c r="AH78" s="52">
        <v>100</v>
      </c>
      <c r="AI78" s="398"/>
      <c r="AK78" s="19"/>
      <c r="AL78" s="19"/>
      <c r="AM78" s="19"/>
      <c r="AN78" s="18"/>
      <c r="AO78" s="9"/>
    </row>
    <row r="79" spans="1:41" ht="22.5" customHeight="1">
      <c r="A79" s="104">
        <v>50</v>
      </c>
      <c r="B79" s="105">
        <v>30</v>
      </c>
      <c r="C79" s="105">
        <v>1.5</v>
      </c>
      <c r="D79" s="106"/>
      <c r="E79" s="106">
        <v>561.79999999999995</v>
      </c>
      <c r="F79" s="120">
        <f>D79/E79</f>
        <v>0</v>
      </c>
      <c r="G79" s="107"/>
      <c r="H79" s="108"/>
      <c r="I79" s="108"/>
      <c r="J79" s="109"/>
      <c r="K79" s="110">
        <f>AH40</f>
        <v>1085</v>
      </c>
      <c r="L79" s="103">
        <f>K79/E79</f>
        <v>1.9312922748309009</v>
      </c>
      <c r="M79" s="91">
        <f t="shared" si="40"/>
        <v>17996.132560924303</v>
      </c>
      <c r="N79" s="92">
        <f t="shared" si="24"/>
        <v>17028.598552272459</v>
      </c>
      <c r="O79" s="93">
        <f t="shared" si="37"/>
        <v>15836.596653613387</v>
      </c>
      <c r="P79" s="124"/>
      <c r="Q79" s="258" t="s">
        <v>67</v>
      </c>
      <c r="R79" s="157">
        <v>4</v>
      </c>
      <c r="S79" s="158"/>
      <c r="T79" s="157">
        <v>103.41</v>
      </c>
      <c r="U79" s="261"/>
      <c r="V79" s="260"/>
      <c r="W79" s="159"/>
      <c r="X79" s="159"/>
      <c r="Y79" s="259">
        <v>1020</v>
      </c>
      <c r="Z79" s="259">
        <v>1130</v>
      </c>
      <c r="AA79" s="269">
        <f>Z79/T79</f>
        <v>10.927376462624505</v>
      </c>
      <c r="AB79" s="212">
        <f t="shared" si="33"/>
        <v>101823.28067445561</v>
      </c>
      <c r="AC79" s="213">
        <f t="shared" si="34"/>
        <v>96348.910745721441</v>
      </c>
      <c r="AD79" s="220">
        <f>AA79*$AG$17</f>
        <v>89604.486993520943</v>
      </c>
      <c r="AE79" s="72"/>
      <c r="AF79" s="41"/>
      <c r="AG79" s="52"/>
      <c r="AH79" s="52"/>
      <c r="AI79" s="62"/>
      <c r="AK79" s="19"/>
      <c r="AL79" s="19"/>
      <c r="AM79" s="19"/>
      <c r="AN79" s="18"/>
      <c r="AO79" s="9"/>
    </row>
    <row r="80" spans="1:41" ht="27.75" customHeight="1" thickBot="1">
      <c r="A80" s="170">
        <v>50</v>
      </c>
      <c r="B80" s="208">
        <v>30</v>
      </c>
      <c r="C80" s="210">
        <v>1.7</v>
      </c>
      <c r="D80" s="171">
        <v>8400000</v>
      </c>
      <c r="E80" s="171">
        <v>497.51</v>
      </c>
      <c r="F80" s="120">
        <f>D80/E80</f>
        <v>16884.082732005387</v>
      </c>
      <c r="G80" s="121"/>
      <c r="H80" s="122"/>
      <c r="I80" s="122"/>
      <c r="J80" s="122"/>
      <c r="K80" s="122">
        <f>AF40</f>
        <v>1035</v>
      </c>
      <c r="L80" s="103">
        <f t="shared" si="39"/>
        <v>2.0803601937649496</v>
      </c>
      <c r="M80" s="91">
        <f t="shared" si="40"/>
        <v>19385.17453280976</v>
      </c>
      <c r="N80" s="92">
        <f t="shared" si="24"/>
        <v>18342.960848250092</v>
      </c>
      <c r="O80" s="93">
        <f t="shared" si="37"/>
        <v>17058.953588872588</v>
      </c>
      <c r="P80" s="124"/>
      <c r="Q80" s="173">
        <v>114</v>
      </c>
      <c r="R80" s="174">
        <v>3</v>
      </c>
      <c r="S80" s="172">
        <f t="shared" ref="S80:S92" si="41">U80*T80</f>
        <v>8200002.2999999998</v>
      </c>
      <c r="T80" s="174">
        <v>121.8</v>
      </c>
      <c r="U80" s="330">
        <v>67323.5</v>
      </c>
      <c r="V80" s="217">
        <v>0.98</v>
      </c>
      <c r="W80" s="218">
        <f>AG51</f>
        <v>8100</v>
      </c>
      <c r="X80" s="218">
        <f>AH51</f>
        <v>135</v>
      </c>
      <c r="Y80" s="219">
        <f t="shared" ref="Y80:Y92" si="42">S80*V80/W80+X80</f>
        <v>1127.0990437037035</v>
      </c>
      <c r="Z80" s="164"/>
      <c r="AA80" s="269">
        <f t="shared" ref="AA80:AA92" si="43">Y80/T80</f>
        <v>9.2536867299154633</v>
      </c>
      <c r="AB80" s="212">
        <f t="shared" si="33"/>
        <v>86227.535437848637</v>
      </c>
      <c r="AC80" s="213">
        <f t="shared" si="34"/>
        <v>81591.64643581376</v>
      </c>
      <c r="AD80" s="220">
        <f t="shared" si="36"/>
        <v>75880.231185306795</v>
      </c>
      <c r="AE80" s="72"/>
      <c r="AI80" s="55"/>
      <c r="AK80" s="19"/>
      <c r="AL80" s="19"/>
      <c r="AM80" s="19"/>
      <c r="AN80" s="18"/>
      <c r="AO80" s="9"/>
    </row>
    <row r="81" spans="1:41" ht="30.75" customHeight="1" thickBot="1">
      <c r="A81" s="145" t="s">
        <v>70</v>
      </c>
      <c r="B81" s="305">
        <v>30</v>
      </c>
      <c r="C81" s="306">
        <v>2</v>
      </c>
      <c r="D81" s="147"/>
      <c r="E81" s="147">
        <v>429.19</v>
      </c>
      <c r="F81" s="147"/>
      <c r="G81" s="148"/>
      <c r="H81" s="149"/>
      <c r="I81" s="149"/>
      <c r="J81" s="149">
        <v>1000</v>
      </c>
      <c r="K81" s="149">
        <v>1100</v>
      </c>
      <c r="L81" s="103">
        <f>K81/E81</f>
        <v>2.5629674503133812</v>
      </c>
      <c r="M81" s="91">
        <f t="shared" si="40"/>
        <v>23882.196696101961</v>
      </c>
      <c r="N81" s="92">
        <f t="shared" si="24"/>
        <v>22598.207626419058</v>
      </c>
      <c r="O81" s="93">
        <f>L81*$AG$17</f>
        <v>21016.333092569726</v>
      </c>
      <c r="P81" s="124"/>
      <c r="Q81" s="173">
        <v>114</v>
      </c>
      <c r="R81" s="174">
        <v>3.5</v>
      </c>
      <c r="S81" s="172">
        <f t="shared" si="41"/>
        <v>8200002.6399999997</v>
      </c>
      <c r="T81" s="174">
        <v>104.8</v>
      </c>
      <c r="U81" s="330">
        <v>78244.3</v>
      </c>
      <c r="V81" s="217">
        <f>$AF$46</f>
        <v>0.98</v>
      </c>
      <c r="W81" s="218">
        <f>AG51</f>
        <v>8100</v>
      </c>
      <c r="X81" s="218">
        <f>X83</f>
        <v>135</v>
      </c>
      <c r="Y81" s="219">
        <f t="shared" si="42"/>
        <v>1127.0990848395063</v>
      </c>
      <c r="Z81" s="164"/>
      <c r="AA81" s="269">
        <f t="shared" si="43"/>
        <v>10.754762259918953</v>
      </c>
      <c r="AB81" s="212">
        <f t="shared" si="33"/>
        <v>100214.83014924479</v>
      </c>
      <c r="AC81" s="213">
        <f t="shared" si="34"/>
        <v>94826.936055199374</v>
      </c>
      <c r="AD81" s="220">
        <f t="shared" si="36"/>
        <v>88189.050531335422</v>
      </c>
      <c r="AE81" s="72"/>
      <c r="AI81" s="251"/>
      <c r="AK81" s="19"/>
      <c r="AL81" s="19"/>
      <c r="AM81" s="19"/>
      <c r="AN81" s="18"/>
      <c r="AO81" s="9"/>
    </row>
    <row r="82" spans="1:41" ht="30.75" customHeight="1" thickBot="1">
      <c r="A82" s="145" t="s">
        <v>70</v>
      </c>
      <c r="B82" s="305">
        <v>50</v>
      </c>
      <c r="C82" s="306">
        <v>1.7</v>
      </c>
      <c r="D82" s="147"/>
      <c r="E82" s="147">
        <v>393.7</v>
      </c>
      <c r="F82" s="147"/>
      <c r="G82" s="148"/>
      <c r="H82" s="149"/>
      <c r="I82" s="149"/>
      <c r="J82" s="149">
        <v>1000</v>
      </c>
      <c r="K82" s="149">
        <f>1070</f>
        <v>1070</v>
      </c>
      <c r="L82" s="103">
        <f>K82/E82</f>
        <v>2.7178054356108712</v>
      </c>
      <c r="M82" s="91">
        <f t="shared" si="40"/>
        <v>25325.005195464935</v>
      </c>
      <c r="N82" s="92">
        <f t="shared" si="24"/>
        <v>23963.445776353918</v>
      </c>
      <c r="O82" s="93">
        <f>L82*$AG$17</f>
        <v>22286.004572009144</v>
      </c>
      <c r="P82" s="124"/>
      <c r="Q82" s="173">
        <v>114</v>
      </c>
      <c r="R82" s="174">
        <v>4</v>
      </c>
      <c r="S82" s="172">
        <f t="shared" si="41"/>
        <v>8000005.7539999997</v>
      </c>
      <c r="T82" s="174">
        <v>92.17</v>
      </c>
      <c r="U82" s="330">
        <v>86796.2</v>
      </c>
      <c r="V82" s="217">
        <f t="shared" ref="V82:V92" si="44">$AF$51</f>
        <v>0.98</v>
      </c>
      <c r="W82" s="216">
        <f>AG51</f>
        <v>8100</v>
      </c>
      <c r="X82" s="218">
        <f>X81</f>
        <v>135</v>
      </c>
      <c r="Y82" s="216">
        <f t="shared" si="42"/>
        <v>1102.901930730864</v>
      </c>
      <c r="Z82" s="164"/>
      <c r="AA82" s="269">
        <f t="shared" si="43"/>
        <v>11.965953463500748</v>
      </c>
      <c r="AB82" s="212">
        <f t="shared" si="33"/>
        <v>111500.93000080243</v>
      </c>
      <c r="AC82" s="213">
        <f t="shared" si="34"/>
        <v>105506.2563448453</v>
      </c>
      <c r="AD82" s="220">
        <f t="shared" si="36"/>
        <v>98120.818400706135</v>
      </c>
      <c r="AE82" s="72"/>
      <c r="AF82" s="59"/>
      <c r="AG82" s="52"/>
      <c r="AH82" s="52"/>
      <c r="AI82" s="68"/>
      <c r="AK82" s="19"/>
      <c r="AL82" s="19"/>
      <c r="AM82" s="19"/>
      <c r="AN82" s="18"/>
      <c r="AO82" s="9"/>
    </row>
    <row r="83" spans="1:41" ht="23.25" thickBot="1">
      <c r="A83" s="170">
        <v>50</v>
      </c>
      <c r="B83" s="123">
        <v>50</v>
      </c>
      <c r="C83" s="123" t="s">
        <v>6</v>
      </c>
      <c r="D83" s="171">
        <f>F83*E83</f>
        <v>7800023.7699999996</v>
      </c>
      <c r="E83" s="171">
        <v>393.7</v>
      </c>
      <c r="F83" s="241">
        <v>19812.099999999999</v>
      </c>
      <c r="G83" s="121"/>
      <c r="H83" s="122"/>
      <c r="I83" s="122"/>
      <c r="J83" s="109"/>
      <c r="K83" s="122">
        <f>AF40</f>
        <v>1035</v>
      </c>
      <c r="L83" s="103">
        <f t="shared" si="39"/>
        <v>2.6289052578105156</v>
      </c>
      <c r="M83" s="91">
        <f t="shared" si="40"/>
        <v>24496.617175052532</v>
      </c>
      <c r="N83" s="92">
        <f t="shared" si="24"/>
        <v>23179.594746286264</v>
      </c>
      <c r="O83" s="93">
        <f t="shared" ref="O83:O91" si="45">L83*$AG$17</f>
        <v>21557.023114046227</v>
      </c>
      <c r="P83" s="124" t="s">
        <v>86</v>
      </c>
      <c r="Q83" s="173">
        <v>114</v>
      </c>
      <c r="R83" s="174">
        <v>4.5</v>
      </c>
      <c r="S83" s="172">
        <f t="shared" si="41"/>
        <v>8000004.419999999</v>
      </c>
      <c r="T83" s="174">
        <v>82.3</v>
      </c>
      <c r="U83" s="330">
        <v>97205.4</v>
      </c>
      <c r="V83" s="217">
        <f t="shared" si="44"/>
        <v>0.98</v>
      </c>
      <c r="W83" s="216">
        <f>$AG$51</f>
        <v>8100</v>
      </c>
      <c r="X83" s="218">
        <f>AH51</f>
        <v>135</v>
      </c>
      <c r="Y83" s="216">
        <f t="shared" si="42"/>
        <v>1102.9017693333333</v>
      </c>
      <c r="Z83" s="164"/>
      <c r="AA83" s="269">
        <f t="shared" si="43"/>
        <v>13.400993552045362</v>
      </c>
      <c r="AB83" s="212">
        <f t="shared" si="33"/>
        <v>124872.89446224087</v>
      </c>
      <c r="AC83" s="213">
        <f t="shared" si="34"/>
        <v>118159.29798577631</v>
      </c>
      <c r="AD83" s="220">
        <f t="shared" si="36"/>
        <v>109888.14712677198</v>
      </c>
      <c r="AE83" s="72"/>
      <c r="AI83" s="46"/>
      <c r="AK83" s="19"/>
      <c r="AL83" s="19"/>
      <c r="AM83" s="19"/>
      <c r="AN83" s="18"/>
      <c r="AO83" s="9"/>
    </row>
    <row r="84" spans="1:41" ht="28.5" customHeight="1" thickBot="1">
      <c r="A84" s="145" t="s">
        <v>48</v>
      </c>
      <c r="B84" s="146">
        <v>50</v>
      </c>
      <c r="C84" s="146">
        <v>1.5</v>
      </c>
      <c r="D84" s="147"/>
      <c r="E84" s="147">
        <v>444</v>
      </c>
      <c r="F84" s="147"/>
      <c r="G84" s="148"/>
      <c r="H84" s="149"/>
      <c r="I84" s="149"/>
      <c r="J84" s="149">
        <v>1035</v>
      </c>
      <c r="K84" s="304">
        <f>1115</f>
        <v>1115</v>
      </c>
      <c r="L84" s="103">
        <f t="shared" si="39"/>
        <v>2.5112612612612613</v>
      </c>
      <c r="M84" s="91">
        <f t="shared" si="40"/>
        <v>23400.389025389024</v>
      </c>
      <c r="N84" s="92">
        <f t="shared" si="24"/>
        <v>22142.303593916495</v>
      </c>
      <c r="O84" s="93">
        <f t="shared" si="45"/>
        <v>20592.342342342341</v>
      </c>
      <c r="P84" s="124"/>
      <c r="Q84" s="173">
        <v>159</v>
      </c>
      <c r="R84" s="174">
        <v>4</v>
      </c>
      <c r="S84" s="172">
        <f t="shared" si="41"/>
        <v>8000002.6800000006</v>
      </c>
      <c r="T84" s="174">
        <v>65.400000000000006</v>
      </c>
      <c r="U84" s="330">
        <v>122324.2</v>
      </c>
      <c r="V84" s="217">
        <f t="shared" si="44"/>
        <v>0.98</v>
      </c>
      <c r="W84" s="216">
        <f>AG51</f>
        <v>8100</v>
      </c>
      <c r="X84" s="218">
        <f>AH51</f>
        <v>135</v>
      </c>
      <c r="Y84" s="216">
        <f t="shared" si="42"/>
        <v>1102.901558814815</v>
      </c>
      <c r="Z84" s="164"/>
      <c r="AA84" s="269">
        <f t="shared" si="43"/>
        <v>16.863938208177597</v>
      </c>
      <c r="AB84" s="212">
        <f t="shared" si="33"/>
        <v>157141.24239438216</v>
      </c>
      <c r="AC84" s="213">
        <f t="shared" si="34"/>
        <v>148692.78850221107</v>
      </c>
      <c r="AD84" s="220">
        <f t="shared" ref="AD84:AD92" si="46">AA84*$AG$17</f>
        <v>138284.2933070563</v>
      </c>
      <c r="AE84" s="72"/>
      <c r="AF84" s="53"/>
      <c r="AG84" s="53"/>
      <c r="AH84" s="53"/>
      <c r="AI84" s="53"/>
      <c r="AJ84" s="53"/>
      <c r="AK84" s="19"/>
      <c r="AL84" s="19"/>
      <c r="AM84" s="19"/>
      <c r="AN84" s="19"/>
    </row>
    <row r="85" spans="1:41" ht="31.5" customHeight="1" thickBot="1">
      <c r="A85" s="104">
        <v>50</v>
      </c>
      <c r="B85" s="105">
        <v>50</v>
      </c>
      <c r="C85" s="105">
        <v>1.5</v>
      </c>
      <c r="D85" s="106"/>
      <c r="E85" s="106">
        <v>444.44</v>
      </c>
      <c r="F85" s="120">
        <f>D85/E85</f>
        <v>0</v>
      </c>
      <c r="G85" s="107"/>
      <c r="H85" s="108"/>
      <c r="I85" s="108"/>
      <c r="J85" s="109"/>
      <c r="K85" s="110">
        <f>AH40</f>
        <v>1085</v>
      </c>
      <c r="L85" s="103">
        <f t="shared" si="39"/>
        <v>2.4412744127441273</v>
      </c>
      <c r="M85" s="91">
        <f t="shared" si="40"/>
        <v>22748.238846024822</v>
      </c>
      <c r="N85" s="92">
        <f t="shared" si="24"/>
        <v>21525.215252152517</v>
      </c>
      <c r="O85" s="93">
        <f>L85*$AG$17</f>
        <v>20018.450184501842</v>
      </c>
      <c r="P85" s="124"/>
      <c r="Q85" s="173">
        <v>159</v>
      </c>
      <c r="R85" s="174">
        <v>4.5</v>
      </c>
      <c r="S85" s="172">
        <f t="shared" si="41"/>
        <v>8000001.7899999991</v>
      </c>
      <c r="T85" s="174">
        <v>58.3</v>
      </c>
      <c r="U85" s="330">
        <v>137221.29999999999</v>
      </c>
      <c r="V85" s="217">
        <f t="shared" si="44"/>
        <v>0.98</v>
      </c>
      <c r="W85" s="216">
        <f>$AG$51</f>
        <v>8100</v>
      </c>
      <c r="X85" s="218">
        <f>$AH$51</f>
        <v>135</v>
      </c>
      <c r="Y85" s="216">
        <f t="shared" si="42"/>
        <v>1102.9014511358023</v>
      </c>
      <c r="Z85" s="164"/>
      <c r="AA85" s="269">
        <f t="shared" si="43"/>
        <v>18.917692129259045</v>
      </c>
      <c r="AB85" s="212">
        <f t="shared" si="33"/>
        <v>176278.49484082294</v>
      </c>
      <c r="AC85" s="213">
        <f t="shared" si="34"/>
        <v>166801.15640852062</v>
      </c>
      <c r="AD85" s="220">
        <f t="shared" si="46"/>
        <v>155125.07545992418</v>
      </c>
      <c r="AE85" s="72"/>
      <c r="AF85" s="53"/>
      <c r="AG85" s="53"/>
      <c r="AH85" s="53"/>
      <c r="AI85" s="53"/>
      <c r="AJ85" s="53"/>
      <c r="AK85" s="19"/>
      <c r="AL85" s="19"/>
      <c r="AM85" s="19"/>
      <c r="AN85" s="19"/>
    </row>
    <row r="86" spans="1:41" ht="28.5" customHeight="1" thickBot="1">
      <c r="A86" s="170">
        <v>50</v>
      </c>
      <c r="B86" s="123">
        <v>50</v>
      </c>
      <c r="C86" s="179" t="s">
        <v>2</v>
      </c>
      <c r="D86" s="171">
        <f>F86*E86</f>
        <v>7700015.8799999999</v>
      </c>
      <c r="E86" s="171">
        <v>337.8</v>
      </c>
      <c r="F86" s="241">
        <v>22794.6</v>
      </c>
      <c r="G86" s="121"/>
      <c r="H86" s="122"/>
      <c r="I86" s="122"/>
      <c r="J86" s="109"/>
      <c r="K86" s="122">
        <f>AF40</f>
        <v>1035</v>
      </c>
      <c r="L86" s="103">
        <f t="shared" si="39"/>
        <v>3.0639431616341031</v>
      </c>
      <c r="M86" s="91">
        <f t="shared" si="40"/>
        <v>28550.379460681415</v>
      </c>
      <c r="N86" s="92">
        <f t="shared" si="24"/>
        <v>27015.412823010371</v>
      </c>
      <c r="O86" s="93">
        <f t="shared" si="45"/>
        <v>25124.333925399646</v>
      </c>
      <c r="P86" s="124"/>
      <c r="Q86" s="173">
        <v>219</v>
      </c>
      <c r="R86" s="174">
        <v>4</v>
      </c>
      <c r="S86" s="172">
        <f t="shared" si="41"/>
        <v>8400002.4000000004</v>
      </c>
      <c r="T86" s="174">
        <v>47.1</v>
      </c>
      <c r="U86" s="330">
        <v>178344</v>
      </c>
      <c r="V86" s="217">
        <f t="shared" si="44"/>
        <v>0.98</v>
      </c>
      <c r="W86" s="216">
        <f>$AG$51</f>
        <v>8100</v>
      </c>
      <c r="X86" s="218">
        <f>$AH$51</f>
        <v>135</v>
      </c>
      <c r="Y86" s="216">
        <f t="shared" si="42"/>
        <v>1151.2965866666668</v>
      </c>
      <c r="Z86" s="164"/>
      <c r="AA86" s="269">
        <f t="shared" si="43"/>
        <v>24.443664260438787</v>
      </c>
      <c r="AB86" s="212">
        <f t="shared" si="33"/>
        <v>227770.50788136141</v>
      </c>
      <c r="AC86" s="213">
        <f t="shared" si="34"/>
        <v>215524.78165118067</v>
      </c>
      <c r="AD86" s="220">
        <f t="shared" si="46"/>
        <v>200438.04693559805</v>
      </c>
      <c r="AE86" s="72"/>
      <c r="AF86" s="3"/>
      <c r="AG86" s="3"/>
      <c r="AH86" s="3"/>
      <c r="AI86" s="3"/>
      <c r="AJ86" s="3"/>
      <c r="AK86" s="18"/>
      <c r="AL86" s="19"/>
      <c r="AM86" s="19"/>
      <c r="AN86" s="19"/>
    </row>
    <row r="87" spans="1:41" ht="31.5" customHeight="1" thickBot="1">
      <c r="A87" s="145" t="s">
        <v>70</v>
      </c>
      <c r="B87" s="146">
        <v>50</v>
      </c>
      <c r="C87" s="161">
        <v>2.5</v>
      </c>
      <c r="D87" s="147"/>
      <c r="E87" s="147">
        <v>274.72000000000003</v>
      </c>
      <c r="F87" s="147"/>
      <c r="G87" s="148"/>
      <c r="H87" s="149"/>
      <c r="I87" s="149"/>
      <c r="J87" s="304">
        <v>1020</v>
      </c>
      <c r="K87" s="149">
        <v>1180</v>
      </c>
      <c r="L87" s="103">
        <f>K87/E87</f>
        <v>4.2952824694234124</v>
      </c>
      <c r="M87" s="91">
        <f t="shared" si="40"/>
        <v>40024.223010536341</v>
      </c>
      <c r="N87" s="92">
        <f t="shared" si="24"/>
        <v>37872.383063733309</v>
      </c>
      <c r="O87" s="93">
        <f>L87*$AG$17</f>
        <v>35221.316249271978</v>
      </c>
      <c r="P87" s="124"/>
      <c r="Q87" s="173">
        <v>219</v>
      </c>
      <c r="R87" s="174">
        <v>4.5</v>
      </c>
      <c r="S87" s="172">
        <f t="shared" si="41"/>
        <v>8400000</v>
      </c>
      <c r="T87" s="174">
        <v>42</v>
      </c>
      <c r="U87" s="330">
        <v>200000</v>
      </c>
      <c r="V87" s="217">
        <f t="shared" si="44"/>
        <v>0.98</v>
      </c>
      <c r="W87" s="216">
        <f>$AG$51</f>
        <v>8100</v>
      </c>
      <c r="X87" s="218">
        <f>$AH$51</f>
        <v>135</v>
      </c>
      <c r="Y87" s="216">
        <f t="shared" si="42"/>
        <v>1151.2962962962963</v>
      </c>
      <c r="Z87" s="164"/>
      <c r="AA87" s="269">
        <f t="shared" si="43"/>
        <v>27.411816578483247</v>
      </c>
      <c r="AB87" s="212">
        <f t="shared" si="33"/>
        <v>255428.29084495752</v>
      </c>
      <c r="AC87" s="213">
        <f t="shared" si="34"/>
        <v>241695.58703608884</v>
      </c>
      <c r="AD87" s="220">
        <f t="shared" si="46"/>
        <v>224776.89594356262</v>
      </c>
      <c r="AE87" s="72"/>
      <c r="AF87" s="3"/>
      <c r="AG87" s="3"/>
      <c r="AH87" s="3"/>
      <c r="AI87" s="3"/>
      <c r="AJ87" s="3"/>
      <c r="AK87" s="18"/>
      <c r="AL87" s="19"/>
      <c r="AM87" s="19"/>
      <c r="AN87" s="19"/>
    </row>
    <row r="88" spans="1:41" ht="31.5" customHeight="1" thickBot="1">
      <c r="A88" s="146" t="s">
        <v>48</v>
      </c>
      <c r="B88" s="146">
        <v>50</v>
      </c>
      <c r="C88" s="146">
        <v>3</v>
      </c>
      <c r="D88" s="146"/>
      <c r="E88" s="146">
        <v>232.01</v>
      </c>
      <c r="F88" s="146"/>
      <c r="G88" s="146"/>
      <c r="H88" s="146"/>
      <c r="I88" s="146"/>
      <c r="J88" s="304">
        <v>1020</v>
      </c>
      <c r="K88" s="146">
        <v>1199</v>
      </c>
      <c r="L88" s="103">
        <f t="shared" si="39"/>
        <v>5.1678806947976383</v>
      </c>
      <c r="M88" s="91">
        <f t="shared" si="40"/>
        <v>48155.251928796177</v>
      </c>
      <c r="N88" s="92">
        <f t="shared" si="24"/>
        <v>45566.259889613582</v>
      </c>
      <c r="O88" s="93">
        <f t="shared" si="45"/>
        <v>42376.621697340634</v>
      </c>
      <c r="P88" s="124"/>
      <c r="Q88" s="173">
        <v>219</v>
      </c>
      <c r="R88" s="174">
        <v>5</v>
      </c>
      <c r="S88" s="172">
        <f t="shared" si="41"/>
        <v>8400000.6099999994</v>
      </c>
      <c r="T88" s="174">
        <v>37.9</v>
      </c>
      <c r="U88" s="330">
        <v>221635.9</v>
      </c>
      <c r="V88" s="217">
        <f t="shared" si="44"/>
        <v>0.98</v>
      </c>
      <c r="W88" s="216">
        <f>AG51</f>
        <v>8100</v>
      </c>
      <c r="X88" s="218">
        <f>AH51</f>
        <v>135</v>
      </c>
      <c r="Y88" s="216">
        <f t="shared" si="42"/>
        <v>1151.2963700987652</v>
      </c>
      <c r="Z88" s="164"/>
      <c r="AA88" s="269">
        <f t="shared" si="43"/>
        <v>30.37721293136584</v>
      </c>
      <c r="AB88" s="212">
        <f t="shared" si="33"/>
        <v>283060.3932240908</v>
      </c>
      <c r="AC88" s="213">
        <f t="shared" si="34"/>
        <v>267842.09251311811</v>
      </c>
      <c r="AD88" s="220">
        <f t="shared" si="46"/>
        <v>249093.14603719988</v>
      </c>
      <c r="AE88" s="72"/>
      <c r="AF88" s="3"/>
      <c r="AG88" s="3"/>
      <c r="AH88" s="3"/>
      <c r="AI88" s="3"/>
      <c r="AJ88" s="3"/>
      <c r="AK88" s="18"/>
      <c r="AL88" s="19"/>
      <c r="AM88" s="19"/>
      <c r="AN88" s="19"/>
    </row>
    <row r="89" spans="1:41" ht="28.5" customHeight="1" thickBot="1">
      <c r="A89" s="98">
        <v>50</v>
      </c>
      <c r="B89" s="99">
        <v>50</v>
      </c>
      <c r="C89" s="175">
        <v>3</v>
      </c>
      <c r="D89" s="100">
        <f>F89*E89</f>
        <v>7600000.716</v>
      </c>
      <c r="E89" s="100">
        <v>232.02</v>
      </c>
      <c r="F89" s="241">
        <v>32755.8</v>
      </c>
      <c r="G89" s="101">
        <f>AF46</f>
        <v>0.98</v>
      </c>
      <c r="H89" s="102">
        <f>$AG$46</f>
        <v>8100</v>
      </c>
      <c r="I89" s="102">
        <f>AH46</f>
        <v>115</v>
      </c>
      <c r="J89" s="102">
        <f>D89*G89/H89+I89+120</f>
        <v>1154.5062594666665</v>
      </c>
      <c r="K89" s="109"/>
      <c r="L89" s="103">
        <f>J89/E89</f>
        <v>4.9758911277763405</v>
      </c>
      <c r="M89" s="91">
        <f t="shared" si="40"/>
        <v>46366.258236097725</v>
      </c>
      <c r="N89" s="92">
        <f t="shared" si="24"/>
        <v>43873.448653511819</v>
      </c>
      <c r="O89" s="93">
        <f t="shared" si="45"/>
        <v>40802.307247765995</v>
      </c>
      <c r="P89" s="124"/>
      <c r="Q89" s="173">
        <v>219</v>
      </c>
      <c r="R89" s="174">
        <v>6</v>
      </c>
      <c r="S89" s="172">
        <f t="shared" si="41"/>
        <v>8400002.3099999987</v>
      </c>
      <c r="T89" s="174">
        <v>31.7</v>
      </c>
      <c r="U89" s="330">
        <v>264984.3</v>
      </c>
      <c r="V89" s="217">
        <f t="shared" si="44"/>
        <v>0.98</v>
      </c>
      <c r="W89" s="216">
        <f>$AG$51</f>
        <v>8100</v>
      </c>
      <c r="X89" s="218">
        <f>$AH$51</f>
        <v>135</v>
      </c>
      <c r="Y89" s="216">
        <f t="shared" si="42"/>
        <v>1151.2965757777777</v>
      </c>
      <c r="Z89" s="164"/>
      <c r="AA89" s="269">
        <f t="shared" si="43"/>
        <v>36.318503967753237</v>
      </c>
      <c r="AB89" s="212">
        <f t="shared" si="33"/>
        <v>338422.42333588249</v>
      </c>
      <c r="AC89" s="213">
        <f t="shared" si="34"/>
        <v>320227.66939309303</v>
      </c>
      <c r="AD89" s="220">
        <f t="shared" si="46"/>
        <v>297811.73253557656</v>
      </c>
      <c r="AE89" s="72"/>
      <c r="AF89" s="41"/>
      <c r="AG89" s="41"/>
      <c r="AH89" s="41"/>
      <c r="AI89" s="41"/>
      <c r="AJ89" s="339"/>
      <c r="AK89" s="18"/>
      <c r="AL89" s="19"/>
      <c r="AM89" s="19"/>
      <c r="AN89" s="19"/>
    </row>
    <row r="90" spans="1:41" ht="28.5" customHeight="1" thickBot="1">
      <c r="A90" s="150" t="s">
        <v>61</v>
      </c>
      <c r="B90" s="151">
        <v>100</v>
      </c>
      <c r="C90" s="180">
        <v>2</v>
      </c>
      <c r="D90" s="120"/>
      <c r="E90" s="120">
        <v>220.75</v>
      </c>
      <c r="F90" s="120"/>
      <c r="G90" s="152"/>
      <c r="H90" s="153"/>
      <c r="I90" s="153"/>
      <c r="J90" s="153"/>
      <c r="K90" s="109">
        <v>1065</v>
      </c>
      <c r="L90" s="103">
        <f>K90/E90</f>
        <v>4.8244620611551525</v>
      </c>
      <c r="M90" s="91">
        <f t="shared" si="40"/>
        <v>44955.214660763922</v>
      </c>
      <c r="N90" s="92">
        <f t="shared" si="24"/>
        <v>42538.267635991666</v>
      </c>
      <c r="O90" s="93">
        <f t="shared" si="45"/>
        <v>39560.588901472249</v>
      </c>
      <c r="P90" s="124"/>
      <c r="Q90" s="173">
        <v>219</v>
      </c>
      <c r="R90" s="174">
        <v>9</v>
      </c>
      <c r="S90" s="172">
        <f t="shared" si="41"/>
        <v>8400000.5500000007</v>
      </c>
      <c r="T90" s="174">
        <v>21.5</v>
      </c>
      <c r="U90" s="330">
        <v>390697.7</v>
      </c>
      <c r="V90" s="217">
        <f t="shared" si="44"/>
        <v>0.98</v>
      </c>
      <c r="W90" s="216">
        <f>$AG$51</f>
        <v>8100</v>
      </c>
      <c r="X90" s="218">
        <f>$AH$51</f>
        <v>135</v>
      </c>
      <c r="Y90" s="216">
        <f t="shared" si="42"/>
        <v>1151.2963628395064</v>
      </c>
      <c r="Z90" s="164"/>
      <c r="AA90" s="269">
        <f t="shared" si="43"/>
        <v>53.548668039046809</v>
      </c>
      <c r="AB90" s="212">
        <f t="shared" si="33"/>
        <v>498976.22490929981</v>
      </c>
      <c r="AC90" s="213">
        <f t="shared" si="34"/>
        <v>472149.54615073529</v>
      </c>
      <c r="AD90" s="220">
        <f t="shared" si="46"/>
        <v>439099.07792018383</v>
      </c>
      <c r="AE90" s="72"/>
      <c r="AF90" s="66"/>
      <c r="AG90" s="66"/>
      <c r="AH90" s="66"/>
      <c r="AI90" s="67"/>
      <c r="AJ90" s="67"/>
      <c r="AK90" s="18"/>
      <c r="AL90" s="19"/>
      <c r="AM90" s="19"/>
      <c r="AN90" s="19"/>
    </row>
    <row r="91" spans="1:41" ht="28.5" customHeight="1" thickBot="1">
      <c r="A91" s="170">
        <v>50</v>
      </c>
      <c r="B91" s="123">
        <v>100</v>
      </c>
      <c r="C91" s="179">
        <v>2</v>
      </c>
      <c r="D91" s="171">
        <f>F91*E91</f>
        <v>7700002.8249999993</v>
      </c>
      <c r="E91" s="171">
        <v>220.75</v>
      </c>
      <c r="F91" s="241">
        <v>34881.1</v>
      </c>
      <c r="G91" s="121"/>
      <c r="H91" s="122"/>
      <c r="I91" s="122"/>
      <c r="J91" s="109"/>
      <c r="K91" s="122">
        <f>AF40</f>
        <v>1035</v>
      </c>
      <c r="L91" s="103">
        <f>K91/E91</f>
        <v>4.6885617214043034</v>
      </c>
      <c r="M91" s="91">
        <f t="shared" si="40"/>
        <v>43688.870585812823</v>
      </c>
      <c r="N91" s="92">
        <f t="shared" si="24"/>
        <v>41340.006575822881</v>
      </c>
      <c r="O91" s="93">
        <f t="shared" si="45"/>
        <v>38446.206115515284</v>
      </c>
      <c r="P91" s="124"/>
      <c r="Q91" s="173" t="s">
        <v>47</v>
      </c>
      <c r="R91" s="174">
        <v>6</v>
      </c>
      <c r="S91" s="172">
        <f t="shared" si="41"/>
        <v>9600002.0660000015</v>
      </c>
      <c r="T91" s="174">
        <v>24.94</v>
      </c>
      <c r="U91" s="330">
        <v>384923.9</v>
      </c>
      <c r="V91" s="217">
        <f t="shared" si="44"/>
        <v>0.98</v>
      </c>
      <c r="W91" s="216">
        <f>$AG$51</f>
        <v>8100</v>
      </c>
      <c r="X91" s="218">
        <f>$AH$51</f>
        <v>135</v>
      </c>
      <c r="Y91" s="216">
        <f t="shared" si="42"/>
        <v>1296.4817314419756</v>
      </c>
      <c r="Z91" s="164"/>
      <c r="AA91" s="269">
        <f t="shared" si="43"/>
        <v>51.984030931915619</v>
      </c>
      <c r="AB91" s="212">
        <f t="shared" si="33"/>
        <v>484396.65186557738</v>
      </c>
      <c r="AC91" s="213">
        <f t="shared" si="34"/>
        <v>458353.82112011622</v>
      </c>
      <c r="AD91" s="220">
        <f t="shared" si="46"/>
        <v>426269.0536417081</v>
      </c>
      <c r="AE91" s="72"/>
      <c r="AF91" s="66"/>
      <c r="AG91" s="66"/>
      <c r="AH91" s="66"/>
      <c r="AI91" s="67"/>
      <c r="AJ91" s="67"/>
      <c r="AK91" s="18"/>
      <c r="AL91" s="19"/>
      <c r="AM91" s="19"/>
      <c r="AN91" s="19"/>
    </row>
    <row r="92" spans="1:41" ht="36.75" customHeight="1" thickBot="1">
      <c r="A92" s="98">
        <v>50</v>
      </c>
      <c r="B92" s="99">
        <v>100</v>
      </c>
      <c r="C92" s="175">
        <v>2.5</v>
      </c>
      <c r="D92" s="100">
        <f>F92*E92</f>
        <v>7600009.6000000006</v>
      </c>
      <c r="E92" s="100">
        <v>178.25</v>
      </c>
      <c r="F92" s="241">
        <v>42636.800000000003</v>
      </c>
      <c r="G92" s="101">
        <f>AF46</f>
        <v>0.98</v>
      </c>
      <c r="H92" s="102">
        <f>$AG$46</f>
        <v>8100</v>
      </c>
      <c r="I92" s="102">
        <f>$AH$46+15</f>
        <v>130</v>
      </c>
      <c r="J92" s="102">
        <f>D92*G92/H92+I92</f>
        <v>1049.5073343209879</v>
      </c>
      <c r="K92" s="109"/>
      <c r="L92" s="103">
        <f>J92/E92</f>
        <v>5.8878391827264398</v>
      </c>
      <c r="M92" s="91">
        <f t="shared" si="40"/>
        <v>54863.956020860009</v>
      </c>
      <c r="N92" s="92">
        <f t="shared" si="24"/>
        <v>51914.280965975056</v>
      </c>
      <c r="O92" s="93">
        <f>L92*$AG$17</f>
        <v>48280.281298356807</v>
      </c>
      <c r="P92" s="124"/>
      <c r="Q92" s="176">
        <v>325</v>
      </c>
      <c r="R92" s="177">
        <v>6</v>
      </c>
      <c r="S92" s="172">
        <f t="shared" si="41"/>
        <v>9600001.7350000013</v>
      </c>
      <c r="T92" s="177">
        <v>20.87</v>
      </c>
      <c r="U92" s="330">
        <v>459990.5</v>
      </c>
      <c r="V92" s="222">
        <f t="shared" si="44"/>
        <v>0.98</v>
      </c>
      <c r="W92" s="223">
        <f>$AG$51</f>
        <v>8100</v>
      </c>
      <c r="X92" s="224">
        <f>$AH$51</f>
        <v>135</v>
      </c>
      <c r="Y92" s="223">
        <f t="shared" si="42"/>
        <v>1296.4816913950617</v>
      </c>
      <c r="Z92" s="178"/>
      <c r="AA92" s="270">
        <f t="shared" si="43"/>
        <v>62.121786842120827</v>
      </c>
      <c r="AB92" s="212">
        <f t="shared" si="33"/>
        <v>578862.10466521676</v>
      </c>
      <c r="AC92" s="213">
        <f t="shared" si="34"/>
        <v>547740.48613482877</v>
      </c>
      <c r="AD92" s="225">
        <f t="shared" si="46"/>
        <v>509398.65210539079</v>
      </c>
      <c r="AE92" s="72"/>
      <c r="AF92" s="3"/>
      <c r="AG92" s="3"/>
      <c r="AH92" s="3"/>
      <c r="AI92" s="18"/>
      <c r="AJ92" s="18"/>
      <c r="AK92" s="18"/>
      <c r="AL92" s="19"/>
      <c r="AM92" s="19"/>
      <c r="AN92" s="19"/>
    </row>
    <row r="93" spans="1:41" ht="27.75" customHeight="1">
      <c r="A93" s="98">
        <v>50</v>
      </c>
      <c r="B93" s="99">
        <v>100</v>
      </c>
      <c r="C93" s="175">
        <v>3</v>
      </c>
      <c r="D93" s="100">
        <f>F93*E93</f>
        <v>7600007.415</v>
      </c>
      <c r="E93" s="100">
        <v>150.15</v>
      </c>
      <c r="F93" s="241">
        <v>50616.1</v>
      </c>
      <c r="G93" s="101">
        <f>G92</f>
        <v>0.98</v>
      </c>
      <c r="H93" s="102">
        <f>$AG$46</f>
        <v>8100</v>
      </c>
      <c r="I93" s="102">
        <f>AH46</f>
        <v>115</v>
      </c>
      <c r="J93" s="102">
        <f>D93*G93/H93+I93+15</f>
        <v>1049.5070699629628</v>
      </c>
      <c r="K93" s="109"/>
      <c r="L93" s="103">
        <f>J93/E93</f>
        <v>6.9897240756774073</v>
      </c>
      <c r="M93" s="91">
        <f t="shared" si="40"/>
        <v>65131.519796084933</v>
      </c>
      <c r="N93" s="92">
        <f t="shared" si="24"/>
        <v>61629.82518339219</v>
      </c>
      <c r="O93" s="93">
        <f>L93*$AG$17</f>
        <v>57315.737420554738</v>
      </c>
      <c r="P93" s="124"/>
      <c r="AE93" s="72"/>
      <c r="AF93" s="41"/>
      <c r="AG93" s="18"/>
      <c r="AH93" s="41"/>
      <c r="AI93" s="18"/>
      <c r="AJ93" s="41"/>
      <c r="AK93" s="18"/>
      <c r="AL93" s="19"/>
      <c r="AM93" s="19"/>
      <c r="AN93" s="19"/>
    </row>
    <row r="94" spans="1:41" ht="30" customHeight="1">
      <c r="A94" s="145" t="s">
        <v>49</v>
      </c>
      <c r="B94" s="146">
        <v>60</v>
      </c>
      <c r="C94" s="161">
        <v>1.7</v>
      </c>
      <c r="D94" s="147"/>
      <c r="E94" s="147">
        <v>325.73</v>
      </c>
      <c r="F94" s="120"/>
      <c r="G94" s="148"/>
      <c r="H94" s="149"/>
      <c r="I94" s="149"/>
      <c r="J94" s="248">
        <v>1000</v>
      </c>
      <c r="K94" s="249">
        <f>AF40</f>
        <v>1035</v>
      </c>
      <c r="L94" s="103">
        <f>K94/E94</f>
        <v>3.1774782795566878</v>
      </c>
      <c r="M94" s="91">
        <f t="shared" ref="M94:M108" si="47">O94/0.88</f>
        <v>29608.320332232775</v>
      </c>
      <c r="N94" s="92">
        <f t="shared" ref="N94:N104" si="48">O94/0.93</f>
        <v>28016.475153080475</v>
      </c>
      <c r="O94" s="93">
        <f>L94*$AG$17</f>
        <v>26055.321892364842</v>
      </c>
      <c r="P94" s="124"/>
      <c r="AE94" s="72"/>
      <c r="AF94" s="52"/>
      <c r="AG94" s="18"/>
      <c r="AH94" s="340"/>
      <c r="AI94" s="18"/>
      <c r="AJ94" s="340"/>
      <c r="AK94" s="18"/>
      <c r="AL94" s="19"/>
      <c r="AM94" s="19"/>
      <c r="AN94" s="19"/>
    </row>
    <row r="95" spans="1:41" ht="37.5" customHeight="1" thickBot="1">
      <c r="A95" s="170">
        <v>60</v>
      </c>
      <c r="B95" s="123">
        <v>60</v>
      </c>
      <c r="C95" s="179">
        <v>1.7</v>
      </c>
      <c r="D95" s="171">
        <f>F95*E95</f>
        <v>7800028.2990000006</v>
      </c>
      <c r="E95" s="171">
        <v>325.73</v>
      </c>
      <c r="F95" s="241">
        <v>23946.3</v>
      </c>
      <c r="G95" s="121"/>
      <c r="H95" s="122"/>
      <c r="I95" s="122"/>
      <c r="J95" s="109"/>
      <c r="K95" s="122">
        <f>K100</f>
        <v>1035</v>
      </c>
      <c r="L95" s="103">
        <f>K95/E95</f>
        <v>3.1774782795566878</v>
      </c>
      <c r="M95" s="91">
        <f t="shared" si="47"/>
        <v>29608.320332232775</v>
      </c>
      <c r="N95" s="92">
        <f t="shared" si="48"/>
        <v>28016.475153080475</v>
      </c>
      <c r="O95" s="93">
        <f>L95*$AG$17</f>
        <v>26055.321892364842</v>
      </c>
      <c r="P95" s="124"/>
      <c r="Q95" s="347"/>
      <c r="R95" s="347"/>
      <c r="S95" s="347"/>
      <c r="T95" s="347"/>
      <c r="AE95" s="72"/>
      <c r="AF95" s="52"/>
      <c r="AG95" s="18"/>
      <c r="AH95" s="18"/>
      <c r="AI95" s="18"/>
      <c r="AJ95" s="18"/>
      <c r="AK95" s="18"/>
      <c r="AL95" s="19"/>
      <c r="AM95" s="19"/>
      <c r="AN95" s="19"/>
    </row>
    <row r="96" spans="1:41" ht="23.25" customHeight="1">
      <c r="A96" s="181" t="s">
        <v>49</v>
      </c>
      <c r="B96" s="182">
        <v>60</v>
      </c>
      <c r="C96" s="183">
        <v>2.8</v>
      </c>
      <c r="D96" s="184"/>
      <c r="E96" s="184">
        <v>203.25</v>
      </c>
      <c r="F96" s="120"/>
      <c r="G96" s="185"/>
      <c r="H96" s="186"/>
      <c r="I96" s="186"/>
      <c r="J96" s="248">
        <v>1020</v>
      </c>
      <c r="K96" s="249">
        <v>1100</v>
      </c>
      <c r="L96" s="103">
        <f>K96/E96</f>
        <v>5.4120541205412058</v>
      </c>
      <c r="M96" s="91">
        <f t="shared" si="47"/>
        <v>50430.504305043054</v>
      </c>
      <c r="N96" s="92">
        <f t="shared" si="48"/>
        <v>47719.186869288045</v>
      </c>
      <c r="O96" s="93">
        <f t="shared" ref="O96:O108" si="49">L96*$AG$17</f>
        <v>44378.843788437887</v>
      </c>
      <c r="P96" s="353"/>
      <c r="Q96" s="408" t="s">
        <v>40</v>
      </c>
      <c r="R96" s="409"/>
      <c r="S96" s="409"/>
      <c r="T96" s="410"/>
      <c r="U96" s="383"/>
      <c r="V96" s="383"/>
      <c r="W96" s="383"/>
      <c r="X96" s="383"/>
      <c r="Y96" s="383"/>
      <c r="Z96" s="383"/>
      <c r="AA96" s="383"/>
      <c r="AB96" s="354" t="s">
        <v>38</v>
      </c>
      <c r="AC96" s="354" t="s">
        <v>36</v>
      </c>
      <c r="AD96" s="355" t="s">
        <v>58</v>
      </c>
      <c r="AE96" s="72"/>
      <c r="AF96" s="18"/>
      <c r="AG96" s="18"/>
      <c r="AH96" s="18"/>
      <c r="AI96" s="18"/>
      <c r="AJ96" s="18"/>
      <c r="AK96" s="18"/>
      <c r="AN96" s="19"/>
    </row>
    <row r="97" spans="1:40" ht="23.25" customHeight="1">
      <c r="A97" s="320" t="s">
        <v>66</v>
      </c>
      <c r="B97" s="321">
        <v>60</v>
      </c>
      <c r="C97" s="322">
        <v>3</v>
      </c>
      <c r="D97" s="323"/>
      <c r="E97" s="323">
        <v>190.48</v>
      </c>
      <c r="F97" s="323"/>
      <c r="G97" s="324"/>
      <c r="H97" s="325"/>
      <c r="I97" s="325"/>
      <c r="J97" s="326"/>
      <c r="K97" s="325">
        <v>1130</v>
      </c>
      <c r="L97" s="103">
        <f>K97/E97</f>
        <v>5.9323813523729525</v>
      </c>
      <c r="M97" s="91">
        <f t="shared" ref="M97" si="50">O97/0.88</f>
        <v>55279.008056202518</v>
      </c>
      <c r="N97" s="92">
        <f t="shared" ref="N97" si="51">O97/0.93</f>
        <v>52307.018375761516</v>
      </c>
      <c r="O97" s="93">
        <f t="shared" ref="O97" si="52">L97*$AG$17</f>
        <v>48645.527089458214</v>
      </c>
      <c r="P97" s="353"/>
      <c r="Q97" s="384"/>
      <c r="R97" s="359"/>
      <c r="S97" s="359"/>
      <c r="T97" s="359"/>
      <c r="U97" s="381"/>
      <c r="V97" s="381"/>
      <c r="W97" s="381"/>
      <c r="X97" s="381"/>
      <c r="Y97" s="381"/>
      <c r="Z97" s="381"/>
      <c r="AA97" s="381"/>
      <c r="AB97" s="382"/>
      <c r="AC97" s="382"/>
      <c r="AD97" s="385"/>
      <c r="AE97" s="72"/>
      <c r="AF97" s="18"/>
      <c r="AG97" s="18"/>
      <c r="AH97" s="18"/>
      <c r="AI97" s="18"/>
      <c r="AJ97" s="18"/>
      <c r="AK97" s="18"/>
      <c r="AN97" s="19"/>
    </row>
    <row r="98" spans="1:40" ht="23.25" customHeight="1">
      <c r="A98" s="181" t="s">
        <v>49</v>
      </c>
      <c r="B98" s="182">
        <v>60</v>
      </c>
      <c r="C98" s="183">
        <v>3.5</v>
      </c>
      <c r="D98" s="184"/>
      <c r="E98" s="184">
        <v>165.56</v>
      </c>
      <c r="F98" s="120"/>
      <c r="G98" s="185"/>
      <c r="H98" s="186"/>
      <c r="I98" s="186"/>
      <c r="J98" s="248">
        <v>1020</v>
      </c>
      <c r="K98" s="249">
        <v>1100</v>
      </c>
      <c r="L98" s="103">
        <f>K98/E98</f>
        <v>6.6441169364580812</v>
      </c>
      <c r="M98" s="91">
        <f t="shared" si="47"/>
        <v>61911.089635177574</v>
      </c>
      <c r="N98" s="92">
        <f t="shared" si="48"/>
        <v>58582.53642898523</v>
      </c>
      <c r="O98" s="93">
        <f t="shared" si="49"/>
        <v>54481.758878956265</v>
      </c>
      <c r="P98" s="353"/>
      <c r="Q98" s="384">
        <v>20</v>
      </c>
      <c r="R98" s="359" t="s">
        <v>1</v>
      </c>
      <c r="S98" s="359">
        <v>8600000</v>
      </c>
      <c r="T98" s="359">
        <v>952</v>
      </c>
      <c r="U98" s="359">
        <f>S98/T98</f>
        <v>9033.6134453781506</v>
      </c>
      <c r="V98" s="356">
        <f>$AF$70</f>
        <v>0.92</v>
      </c>
      <c r="W98" s="357">
        <f>$AG$70</f>
        <v>8100</v>
      </c>
      <c r="X98" s="357">
        <f>$AH$70</f>
        <v>50</v>
      </c>
      <c r="Y98" s="358">
        <f t="shared" ref="Y98:Y104" si="53">S98*V98/W98+X98</f>
        <v>1026.7901234567901</v>
      </c>
      <c r="Z98" s="359"/>
      <c r="AA98" s="360">
        <f t="shared" ref="AA98:AA104" si="54">Y98/T98</f>
        <v>1.07856105405125</v>
      </c>
      <c r="AB98" s="361">
        <f t="shared" ref="AB98:AB104" si="55">AD98/0.74</f>
        <v>11951.622490838177</v>
      </c>
      <c r="AC98" s="361">
        <f t="shared" ref="AC98:AC115" si="56">$AD98/0.78</f>
        <v>11338.718773359295</v>
      </c>
      <c r="AD98" s="362">
        <f t="shared" ref="AD98:AD104" si="57">AA98*$AG$17</f>
        <v>8844.2006432202506</v>
      </c>
      <c r="AE98" s="72"/>
      <c r="AF98" s="18"/>
      <c r="AG98" s="18"/>
      <c r="AH98" s="18"/>
      <c r="AI98" s="18"/>
      <c r="AJ98" s="18"/>
      <c r="AK98" s="18"/>
      <c r="AN98" s="19"/>
    </row>
    <row r="99" spans="1:40" ht="23.25" customHeight="1">
      <c r="A99" s="98">
        <v>60</v>
      </c>
      <c r="B99" s="99">
        <v>60</v>
      </c>
      <c r="C99" s="175">
        <v>3</v>
      </c>
      <c r="D99" s="100">
        <f>F99*E99</f>
        <v>7600018.6639999999</v>
      </c>
      <c r="E99" s="100">
        <v>190.48</v>
      </c>
      <c r="F99" s="241">
        <v>39899.300000000003</v>
      </c>
      <c r="G99" s="101">
        <f>AF51</f>
        <v>0.98</v>
      </c>
      <c r="H99" s="102">
        <f>AG46</f>
        <v>8100</v>
      </c>
      <c r="I99" s="102">
        <f>AH46+15</f>
        <v>130</v>
      </c>
      <c r="J99" s="102">
        <f>D99*G99/H99+I99</f>
        <v>1049.5084309530864</v>
      </c>
      <c r="K99" s="102"/>
      <c r="L99" s="103">
        <f>J99/E99</f>
        <v>5.5098090663223775</v>
      </c>
      <c r="M99" s="91">
        <f t="shared" si="47"/>
        <v>51341.402663458517</v>
      </c>
      <c r="N99" s="92">
        <f t="shared" si="48"/>
        <v>48581.112197681177</v>
      </c>
      <c r="O99" s="93">
        <f t="shared" si="49"/>
        <v>45180.434343843495</v>
      </c>
      <c r="P99" s="353"/>
      <c r="Q99" s="384">
        <v>20</v>
      </c>
      <c r="R99" s="359">
        <v>2.8</v>
      </c>
      <c r="S99" s="359">
        <v>8600000</v>
      </c>
      <c r="T99" s="359">
        <v>602.4</v>
      </c>
      <c r="U99" s="359">
        <v>14276</v>
      </c>
      <c r="V99" s="356">
        <v>0.92</v>
      </c>
      <c r="W99" s="357">
        <v>8100</v>
      </c>
      <c r="X99" s="357">
        <f>50-10</f>
        <v>40</v>
      </c>
      <c r="Y99" s="358">
        <f t="shared" si="53"/>
        <v>1016.7901234567901</v>
      </c>
      <c r="Z99" s="359"/>
      <c r="AA99" s="360">
        <f t="shared" si="54"/>
        <v>1.6878986113160526</v>
      </c>
      <c r="AB99" s="361">
        <f t="shared" si="55"/>
        <v>18703.74136863734</v>
      </c>
      <c r="AC99" s="361">
        <f t="shared" si="56"/>
        <v>17744.575144604656</v>
      </c>
      <c r="AD99" s="362">
        <f t="shared" si="57"/>
        <v>13840.768612791631</v>
      </c>
      <c r="AE99" s="72"/>
      <c r="AF99" s="18"/>
      <c r="AG99" s="18"/>
      <c r="AH99" s="18"/>
      <c r="AI99" s="18"/>
      <c r="AJ99" s="18"/>
      <c r="AK99" s="18"/>
      <c r="AN99" s="19"/>
    </row>
    <row r="100" spans="1:40" ht="21.75" customHeight="1">
      <c r="A100" s="170">
        <v>60</v>
      </c>
      <c r="B100" s="123">
        <v>80</v>
      </c>
      <c r="C100" s="179" t="s">
        <v>11</v>
      </c>
      <c r="D100" s="171">
        <f>E100*F100</f>
        <v>7700008.392</v>
      </c>
      <c r="E100" s="171">
        <v>236.97</v>
      </c>
      <c r="F100" s="241">
        <v>32493.599999999999</v>
      </c>
      <c r="G100" s="121"/>
      <c r="H100" s="122"/>
      <c r="I100" s="122"/>
      <c r="J100" s="109"/>
      <c r="K100" s="122">
        <f>K72</f>
        <v>1035</v>
      </c>
      <c r="L100" s="103">
        <f>K100/E100</f>
        <v>4.3676414736042535</v>
      </c>
      <c r="M100" s="91">
        <f t="shared" si="47"/>
        <v>40698.477367676001</v>
      </c>
      <c r="N100" s="92">
        <f t="shared" si="48"/>
        <v>38510.387186618151</v>
      </c>
      <c r="O100" s="93">
        <f t="shared" si="49"/>
        <v>35814.660083554882</v>
      </c>
      <c r="P100" s="353"/>
      <c r="Q100" s="384">
        <v>25</v>
      </c>
      <c r="R100" s="359" t="s">
        <v>63</v>
      </c>
      <c r="S100" s="359">
        <v>8600000</v>
      </c>
      <c r="T100" s="359">
        <v>847.46</v>
      </c>
      <c r="U100" s="359">
        <f>S100/T100</f>
        <v>10147.971585679559</v>
      </c>
      <c r="V100" s="356">
        <f>$AF$70</f>
        <v>0.92</v>
      </c>
      <c r="W100" s="357">
        <f>$AG$70</f>
        <v>8100</v>
      </c>
      <c r="X100" s="357">
        <f>$AH$70</f>
        <v>50</v>
      </c>
      <c r="Y100" s="358">
        <f t="shared" si="53"/>
        <v>1026.7901234567901</v>
      </c>
      <c r="Z100" s="359"/>
      <c r="AA100" s="360">
        <f t="shared" si="54"/>
        <v>1.2116089531739433</v>
      </c>
      <c r="AB100" s="361">
        <f t="shared" si="55"/>
        <v>13425.937048684236</v>
      </c>
      <c r="AC100" s="361">
        <f t="shared" si="56"/>
        <v>12737.42745644402</v>
      </c>
      <c r="AD100" s="362">
        <f t="shared" si="57"/>
        <v>9935.1934160263354</v>
      </c>
      <c r="AE100" s="72"/>
      <c r="AF100" s="340"/>
      <c r="AG100" s="18"/>
      <c r="AH100" s="18"/>
      <c r="AI100" s="41"/>
      <c r="AJ100" s="18"/>
      <c r="AK100" s="75"/>
      <c r="AN100" s="19"/>
    </row>
    <row r="101" spans="1:40" ht="27.75" customHeight="1">
      <c r="A101" s="98">
        <v>60</v>
      </c>
      <c r="B101" s="99">
        <v>80</v>
      </c>
      <c r="C101" s="175">
        <v>2.5</v>
      </c>
      <c r="D101" s="100">
        <f>F101*E101</f>
        <v>7600017.8520000009</v>
      </c>
      <c r="E101" s="100">
        <v>191.94</v>
      </c>
      <c r="F101" s="241">
        <v>39595.800000000003</v>
      </c>
      <c r="G101" s="101">
        <f>$AF$46</f>
        <v>0.98</v>
      </c>
      <c r="H101" s="102">
        <f>$AG$46</f>
        <v>8100</v>
      </c>
      <c r="I101" s="102">
        <f>AH46+10</f>
        <v>125</v>
      </c>
      <c r="J101" s="102">
        <f>D101*G101/H101+I101</f>
        <v>1044.5083327111111</v>
      </c>
      <c r="K101" s="109"/>
      <c r="L101" s="103">
        <f>J101/E101</f>
        <v>5.4418481437486248</v>
      </c>
      <c r="M101" s="91">
        <f t="shared" si="47"/>
        <v>50708.130430384917</v>
      </c>
      <c r="N101" s="92">
        <f t="shared" si="48"/>
        <v>47981.886858858838</v>
      </c>
      <c r="O101" s="93">
        <f t="shared" si="49"/>
        <v>44623.154778738724</v>
      </c>
      <c r="P101" s="353"/>
      <c r="Q101" s="384">
        <v>25</v>
      </c>
      <c r="R101" s="359" t="s">
        <v>1</v>
      </c>
      <c r="S101" s="359">
        <v>8400000</v>
      </c>
      <c r="T101" s="359">
        <v>751.9</v>
      </c>
      <c r="U101" s="359">
        <f>S101/T101</f>
        <v>11171.698364144169</v>
      </c>
      <c r="V101" s="356">
        <f>$AF$70</f>
        <v>0.92</v>
      </c>
      <c r="W101" s="357">
        <f>$AG$70</f>
        <v>8100</v>
      </c>
      <c r="X101" s="357">
        <f>$AH$70</f>
        <v>50</v>
      </c>
      <c r="Y101" s="358">
        <f t="shared" si="53"/>
        <v>1004.074074074074</v>
      </c>
      <c r="Z101" s="359"/>
      <c r="AA101" s="360">
        <f t="shared" si="54"/>
        <v>1.3353824631920124</v>
      </c>
      <c r="AB101" s="361">
        <f t="shared" si="55"/>
        <v>14797.481348884461</v>
      </c>
      <c r="AC101" s="361">
        <f t="shared" si="56"/>
        <v>14038.636151505771</v>
      </c>
      <c r="AD101" s="362">
        <f t="shared" si="57"/>
        <v>10950.136198174501</v>
      </c>
      <c r="AE101" s="72"/>
      <c r="AF101" s="340"/>
      <c r="AG101" s="18"/>
      <c r="AH101" s="18"/>
      <c r="AI101" s="340"/>
      <c r="AJ101" s="18"/>
      <c r="AK101" s="84"/>
      <c r="AN101" s="19"/>
    </row>
    <row r="102" spans="1:40" ht="24.75" customHeight="1">
      <c r="A102" s="98">
        <v>60</v>
      </c>
      <c r="B102" s="99">
        <v>80</v>
      </c>
      <c r="C102" s="175">
        <v>3</v>
      </c>
      <c r="D102" s="100">
        <f>F102*E102</f>
        <v>7600006.665000001</v>
      </c>
      <c r="E102" s="100">
        <v>161.55000000000001</v>
      </c>
      <c r="F102" s="241">
        <v>47044.3</v>
      </c>
      <c r="G102" s="101">
        <f>$AF$46</f>
        <v>0.98</v>
      </c>
      <c r="H102" s="102">
        <f>AG46</f>
        <v>8100</v>
      </c>
      <c r="I102" s="102">
        <f>AH46+10</f>
        <v>125</v>
      </c>
      <c r="J102" s="102">
        <f>D102*G102/H102+I102</f>
        <v>1044.5069792222225</v>
      </c>
      <c r="K102" s="109"/>
      <c r="L102" s="103">
        <f>J102/E102</f>
        <v>6.4655337618212467</v>
      </c>
      <c r="M102" s="91">
        <f t="shared" si="47"/>
        <v>60247.019144243437</v>
      </c>
      <c r="N102" s="92">
        <f t="shared" si="48"/>
        <v>57007.932093477655</v>
      </c>
      <c r="O102" s="93">
        <f t="shared" si="49"/>
        <v>53017.376846934225</v>
      </c>
      <c r="P102" s="353"/>
      <c r="Q102" s="384">
        <v>25</v>
      </c>
      <c r="R102" s="359" t="s">
        <v>15</v>
      </c>
      <c r="S102" s="359">
        <v>8350000</v>
      </c>
      <c r="T102" s="359">
        <v>471.7</v>
      </c>
      <c r="U102" s="359">
        <f>S102/T102</f>
        <v>17701.929192283231</v>
      </c>
      <c r="V102" s="356">
        <f>$AF$70</f>
        <v>0.92</v>
      </c>
      <c r="W102" s="357">
        <f>$AG$70</f>
        <v>8100</v>
      </c>
      <c r="X102" s="357">
        <v>50</v>
      </c>
      <c r="Y102" s="358">
        <f t="shared" si="53"/>
        <v>998.39506172839504</v>
      </c>
      <c r="Z102" s="359"/>
      <c r="AA102" s="360">
        <f t="shared" si="54"/>
        <v>2.1165890645079397</v>
      </c>
      <c r="AB102" s="361">
        <f t="shared" si="55"/>
        <v>23454.095039142034</v>
      </c>
      <c r="AC102" s="361">
        <f t="shared" si="56"/>
        <v>22251.320934570649</v>
      </c>
      <c r="AD102" s="362">
        <f t="shared" si="57"/>
        <v>17356.030328965106</v>
      </c>
      <c r="AE102" s="72"/>
      <c r="AF102" s="18"/>
      <c r="AG102" s="18"/>
      <c r="AH102" s="18"/>
      <c r="AI102" s="18"/>
      <c r="AJ102" s="18"/>
      <c r="AK102" s="18"/>
      <c r="AN102" s="19"/>
    </row>
    <row r="103" spans="1:40" ht="24.75" customHeight="1">
      <c r="A103" s="145" t="s">
        <v>49</v>
      </c>
      <c r="B103" s="146">
        <v>100</v>
      </c>
      <c r="C103" s="161">
        <v>1.7</v>
      </c>
      <c r="D103" s="147"/>
      <c r="E103" s="147">
        <v>241.5</v>
      </c>
      <c r="F103" s="120"/>
      <c r="G103" s="148"/>
      <c r="H103" s="149"/>
      <c r="I103" s="149"/>
      <c r="J103" s="248">
        <v>1000</v>
      </c>
      <c r="K103" s="249">
        <v>1180</v>
      </c>
      <c r="L103" s="103">
        <f>K103/E103</f>
        <v>4.8861283643892337</v>
      </c>
      <c r="M103" s="91">
        <f>O103/0.88</f>
        <v>45529.832486354222</v>
      </c>
      <c r="N103" s="92">
        <f>O103/0.93</f>
        <v>43081.99203009862</v>
      </c>
      <c r="O103" s="93">
        <f>L103*$AG$17</f>
        <v>40066.252587991716</v>
      </c>
      <c r="P103" s="353"/>
      <c r="Q103" s="384"/>
      <c r="R103" s="359"/>
      <c r="S103" s="359"/>
      <c r="T103" s="359"/>
      <c r="U103" s="359"/>
      <c r="V103" s="356"/>
      <c r="W103" s="357"/>
      <c r="X103" s="357"/>
      <c r="Y103" s="358"/>
      <c r="Z103" s="359"/>
      <c r="AA103" s="360"/>
      <c r="AB103" s="361"/>
      <c r="AC103" s="361"/>
      <c r="AD103" s="362"/>
      <c r="AE103" s="72"/>
      <c r="AN103" s="19"/>
    </row>
    <row r="104" spans="1:40" ht="21.75" customHeight="1">
      <c r="A104" s="145" t="s">
        <v>49</v>
      </c>
      <c r="B104" s="146">
        <v>100</v>
      </c>
      <c r="C104" s="161">
        <v>2</v>
      </c>
      <c r="D104" s="147"/>
      <c r="E104" s="147">
        <v>206.61</v>
      </c>
      <c r="F104" s="120"/>
      <c r="G104" s="148"/>
      <c r="H104" s="149"/>
      <c r="I104" s="149"/>
      <c r="J104" s="248">
        <v>1000</v>
      </c>
      <c r="K104" s="249">
        <v>1130</v>
      </c>
      <c r="L104" s="103">
        <f>K104/E104</f>
        <v>5.4692415662359029</v>
      </c>
      <c r="M104" s="91">
        <f t="shared" si="47"/>
        <v>50963.387321743641</v>
      </c>
      <c r="N104" s="92">
        <f t="shared" si="48"/>
        <v>48223.42026143484</v>
      </c>
      <c r="O104" s="93">
        <f t="shared" si="49"/>
        <v>44847.780843134402</v>
      </c>
      <c r="P104" s="353"/>
      <c r="Q104" s="384">
        <v>32</v>
      </c>
      <c r="R104" s="359" t="s">
        <v>1</v>
      </c>
      <c r="S104" s="359">
        <v>8400000</v>
      </c>
      <c r="T104" s="359">
        <v>588.20000000000005</v>
      </c>
      <c r="U104" s="359">
        <f>S104/T104</f>
        <v>14280.856851411083</v>
      </c>
      <c r="V104" s="356">
        <f>$AF$70</f>
        <v>0.92</v>
      </c>
      <c r="W104" s="357">
        <f>$AG$70</f>
        <v>8100</v>
      </c>
      <c r="X104" s="357">
        <f>$AH$70</f>
        <v>50</v>
      </c>
      <c r="Y104" s="358">
        <f t="shared" si="53"/>
        <v>1004.074074074074</v>
      </c>
      <c r="Z104" s="359"/>
      <c r="AA104" s="360">
        <f t="shared" si="54"/>
        <v>1.7070283476267833</v>
      </c>
      <c r="AB104" s="361">
        <f t="shared" si="55"/>
        <v>18915.71952775625</v>
      </c>
      <c r="AC104" s="361">
        <f t="shared" si="56"/>
        <v>17945.682628896953</v>
      </c>
      <c r="AD104" s="362">
        <f t="shared" si="57"/>
        <v>13997.632450539624</v>
      </c>
      <c r="AE104" s="72"/>
      <c r="AN104" s="19"/>
    </row>
    <row r="105" spans="1:40" ht="27.75" customHeight="1">
      <c r="A105" s="145" t="s">
        <v>66</v>
      </c>
      <c r="B105" s="146">
        <v>100</v>
      </c>
      <c r="C105" s="161">
        <v>2.5</v>
      </c>
      <c r="D105" s="147"/>
      <c r="E105" s="147">
        <v>166.66</v>
      </c>
      <c r="F105" s="120"/>
      <c r="G105" s="148"/>
      <c r="H105" s="149"/>
      <c r="I105" s="149"/>
      <c r="J105" s="248">
        <v>1020</v>
      </c>
      <c r="K105" s="249">
        <v>1130</v>
      </c>
      <c r="L105" s="103">
        <f>K105/E105</f>
        <v>6.7802712108484338</v>
      </c>
      <c r="M105" s="91">
        <f t="shared" si="47"/>
        <v>63179.799919269499</v>
      </c>
      <c r="N105" s="92">
        <f>O105/0.92</f>
        <v>60432.852096692564</v>
      </c>
      <c r="O105" s="93">
        <f t="shared" si="49"/>
        <v>55598.223928957159</v>
      </c>
      <c r="P105" s="353"/>
      <c r="Q105" s="384">
        <v>32</v>
      </c>
      <c r="R105" s="359" t="s">
        <v>8</v>
      </c>
      <c r="S105" s="359">
        <v>8350000</v>
      </c>
      <c r="T105" s="359">
        <v>323.60000000000002</v>
      </c>
      <c r="U105" s="359">
        <f t="shared" ref="U105:U112" si="58">S105/T105</f>
        <v>25803.461063040788</v>
      </c>
      <c r="V105" s="356">
        <f>$AF$70</f>
        <v>0.92</v>
      </c>
      <c r="W105" s="357">
        <f>$AG$70</f>
        <v>8100</v>
      </c>
      <c r="X105" s="357">
        <f>$AH$70</f>
        <v>50</v>
      </c>
      <c r="Y105" s="358">
        <f t="shared" ref="Y105:Y112" si="59">S105*V105/W105+X105</f>
        <v>998.39506172839504</v>
      </c>
      <c r="Z105" s="359"/>
      <c r="AA105" s="360">
        <f t="shared" ref="AA105:AA112" si="60">Y105/T105</f>
        <v>3.0852752216575863</v>
      </c>
      <c r="AB105" s="361">
        <f t="shared" ref="AB105:AB112" si="61">AD105/0.74</f>
        <v>34188.184888638119</v>
      </c>
      <c r="AC105" s="361">
        <f t="shared" si="56"/>
        <v>32434.944637938726</v>
      </c>
      <c r="AD105" s="362">
        <f t="shared" ref="AD105:AD112" si="62">AA105*$AG$17</f>
        <v>25299.256817592206</v>
      </c>
      <c r="AE105" s="277"/>
      <c r="AN105" s="19"/>
    </row>
    <row r="106" spans="1:40" ht="29.25" customHeight="1">
      <c r="A106" s="145" t="s">
        <v>66</v>
      </c>
      <c r="B106" s="146">
        <v>100</v>
      </c>
      <c r="C106" s="161">
        <v>2.8</v>
      </c>
      <c r="D106" s="147"/>
      <c r="E106" s="147">
        <v>149.69999999999999</v>
      </c>
      <c r="F106" s="120"/>
      <c r="G106" s="148"/>
      <c r="H106" s="149"/>
      <c r="I106" s="149"/>
      <c r="J106" s="248">
        <v>1020</v>
      </c>
      <c r="K106" s="249">
        <v>1130</v>
      </c>
      <c r="L106" s="103">
        <f>K106/E106</f>
        <v>7.5484301937207752</v>
      </c>
      <c r="M106" s="91">
        <f t="shared" ref="M106" si="63">O106/0.88</f>
        <v>70337.644986943589</v>
      </c>
      <c r="N106" s="92">
        <f>O106/0.92</f>
        <v>67279.486509250375</v>
      </c>
      <c r="O106" s="93">
        <f t="shared" ref="O106" si="64">L106*$AG$17</f>
        <v>61897.127588510353</v>
      </c>
      <c r="P106" s="353"/>
      <c r="Q106" s="384"/>
      <c r="R106" s="359"/>
      <c r="S106" s="359"/>
      <c r="T106" s="359"/>
      <c r="U106" s="359"/>
      <c r="V106" s="356"/>
      <c r="W106" s="357"/>
      <c r="X106" s="357"/>
      <c r="Y106" s="358"/>
      <c r="Z106" s="359"/>
      <c r="AA106" s="360"/>
      <c r="AB106" s="361"/>
      <c r="AC106" s="361"/>
      <c r="AD106" s="362"/>
      <c r="AE106" s="277"/>
      <c r="AN106" s="19"/>
    </row>
    <row r="107" spans="1:40" ht="27.75" customHeight="1">
      <c r="A107" s="98">
        <v>60</v>
      </c>
      <c r="B107" s="99">
        <v>100</v>
      </c>
      <c r="C107" s="175">
        <v>3</v>
      </c>
      <c r="D107" s="100">
        <f>F107*E107</f>
        <v>7600007.25</v>
      </c>
      <c r="E107" s="102">
        <v>140.25</v>
      </c>
      <c r="F107" s="241">
        <v>54189</v>
      </c>
      <c r="G107" s="101">
        <f>$AF$51</f>
        <v>0.98</v>
      </c>
      <c r="H107" s="102">
        <f>$AG$51</f>
        <v>8100</v>
      </c>
      <c r="I107" s="102">
        <f>AH46</f>
        <v>115</v>
      </c>
      <c r="J107" s="102">
        <f>D107*G107/H107+I107</f>
        <v>1034.5070499999999</v>
      </c>
      <c r="K107" s="109"/>
      <c r="L107" s="103">
        <f>J107/E107</f>
        <v>7.376164349376114</v>
      </c>
      <c r="M107" s="91">
        <f t="shared" si="47"/>
        <v>68732.440528277424</v>
      </c>
      <c r="N107" s="92">
        <f>O107/0.92</f>
        <v>65744.073548787099</v>
      </c>
      <c r="O107" s="93">
        <f t="shared" si="49"/>
        <v>60484.547664884136</v>
      </c>
      <c r="P107" s="353"/>
      <c r="Q107" s="384">
        <v>40</v>
      </c>
      <c r="R107" s="359" t="s">
        <v>1</v>
      </c>
      <c r="S107" s="359">
        <v>8400000</v>
      </c>
      <c r="T107" s="359">
        <v>515.20000000000005</v>
      </c>
      <c r="U107" s="359">
        <f t="shared" si="58"/>
        <v>16304.347826086954</v>
      </c>
      <c r="V107" s="356">
        <f t="shared" ref="V107:V112" si="65">$AF$70</f>
        <v>0.92</v>
      </c>
      <c r="W107" s="357">
        <f>$AG$70</f>
        <v>8100</v>
      </c>
      <c r="X107" s="357">
        <f>$AH$70</f>
        <v>50</v>
      </c>
      <c r="Y107" s="358">
        <f t="shared" si="59"/>
        <v>1004.074074074074</v>
      </c>
      <c r="Z107" s="359"/>
      <c r="AA107" s="360">
        <f t="shared" si="60"/>
        <v>1.9489015412928454</v>
      </c>
      <c r="AB107" s="361">
        <f t="shared" si="61"/>
        <v>21595.935998109908</v>
      </c>
      <c r="AC107" s="361">
        <f t="shared" si="56"/>
        <v>20488.452100770937</v>
      </c>
      <c r="AD107" s="362">
        <f t="shared" si="62"/>
        <v>15980.992638601332</v>
      </c>
      <c r="AE107" s="277"/>
      <c r="AN107" s="19"/>
    </row>
    <row r="108" spans="1:40" ht="40.5" customHeight="1">
      <c r="A108" s="145" t="s">
        <v>66</v>
      </c>
      <c r="B108" s="146">
        <v>100</v>
      </c>
      <c r="C108" s="161">
        <v>3.5</v>
      </c>
      <c r="D108" s="147"/>
      <c r="E108" s="149">
        <v>121.36</v>
      </c>
      <c r="F108" s="120">
        <f>D108/E108</f>
        <v>0</v>
      </c>
      <c r="G108" s="148"/>
      <c r="H108" s="149"/>
      <c r="I108" s="149"/>
      <c r="J108" s="248">
        <v>1020</v>
      </c>
      <c r="K108" s="249">
        <v>1100</v>
      </c>
      <c r="L108" s="103">
        <f>K108/E108</f>
        <v>9.0639419907712586</v>
      </c>
      <c r="M108" s="91">
        <f t="shared" si="47"/>
        <v>84459.459459459453</v>
      </c>
      <c r="N108" s="92">
        <f>O108/0.93</f>
        <v>79918.628305725069</v>
      </c>
      <c r="O108" s="93">
        <f t="shared" si="49"/>
        <v>74324.32432432432</v>
      </c>
      <c r="P108" s="353"/>
      <c r="Q108" s="384">
        <v>40</v>
      </c>
      <c r="R108" s="359" t="s">
        <v>12</v>
      </c>
      <c r="S108" s="359">
        <v>8350000</v>
      </c>
      <c r="T108" s="359">
        <v>420.2</v>
      </c>
      <c r="U108" s="359">
        <f t="shared" si="58"/>
        <v>19871.489766777726</v>
      </c>
      <c r="V108" s="356">
        <f t="shared" si="65"/>
        <v>0.92</v>
      </c>
      <c r="W108" s="357">
        <v>8000</v>
      </c>
      <c r="X108" s="357">
        <f>$AH$70</f>
        <v>50</v>
      </c>
      <c r="Y108" s="358">
        <f t="shared" si="59"/>
        <v>1010.25</v>
      </c>
      <c r="Z108" s="359"/>
      <c r="AA108" s="360">
        <f t="shared" si="60"/>
        <v>2.40421227986673</v>
      </c>
      <c r="AB108" s="361">
        <f t="shared" si="61"/>
        <v>26641.271209334038</v>
      </c>
      <c r="AC108" s="361">
        <f t="shared" si="56"/>
        <v>25275.05217295793</v>
      </c>
      <c r="AD108" s="362">
        <f t="shared" si="62"/>
        <v>19714.540694907188</v>
      </c>
      <c r="AE108" s="277"/>
      <c r="AL108" s="398"/>
      <c r="AN108" s="19"/>
    </row>
    <row r="109" spans="1:40" ht="40.5" customHeight="1">
      <c r="A109" s="188">
        <v>60</v>
      </c>
      <c r="B109" s="189">
        <v>125</v>
      </c>
      <c r="C109" s="190">
        <v>4.5</v>
      </c>
      <c r="D109" s="191">
        <f>E109*F109</f>
        <v>8300006.2079999996</v>
      </c>
      <c r="E109" s="192">
        <v>82.24</v>
      </c>
      <c r="F109" s="241">
        <v>100924.2</v>
      </c>
      <c r="G109" s="193">
        <f>$AF$51</f>
        <v>0.98</v>
      </c>
      <c r="H109" s="192">
        <f>$AG$51</f>
        <v>8100</v>
      </c>
      <c r="I109" s="192">
        <f>$AH$51</f>
        <v>135</v>
      </c>
      <c r="J109" s="192">
        <f>D109*G109/H109+I109</f>
        <v>1139.1982819555556</v>
      </c>
      <c r="K109" s="109"/>
      <c r="L109" s="103">
        <f>J109/E109</f>
        <v>13.852119187202767</v>
      </c>
      <c r="M109" s="91">
        <f t="shared" ref="M109:M136" si="66">O109/0.88</f>
        <v>129076.56515348033</v>
      </c>
      <c r="N109" s="92">
        <f t="shared" ref="N109:N136" si="67">O109/0.93</f>
        <v>122136.96487641148</v>
      </c>
      <c r="O109" s="93">
        <f t="shared" ref="O109:O123" si="68">L109*$AG$17</f>
        <v>113587.37733506269</v>
      </c>
      <c r="P109" s="353"/>
      <c r="Q109" s="384">
        <v>40</v>
      </c>
      <c r="R109" s="359" t="s">
        <v>8</v>
      </c>
      <c r="S109" s="359">
        <v>8350000</v>
      </c>
      <c r="T109" s="359">
        <v>282.5</v>
      </c>
      <c r="U109" s="359">
        <f t="shared" si="58"/>
        <v>29557.522123893807</v>
      </c>
      <c r="V109" s="356">
        <f t="shared" si="65"/>
        <v>0.92</v>
      </c>
      <c r="W109" s="357">
        <f>$AG$70</f>
        <v>8100</v>
      </c>
      <c r="X109" s="357">
        <f>$AH$70</f>
        <v>50</v>
      </c>
      <c r="Y109" s="358">
        <f t="shared" si="59"/>
        <v>998.39506172839504</v>
      </c>
      <c r="Z109" s="359"/>
      <c r="AA109" s="360">
        <f t="shared" si="60"/>
        <v>3.534141811427947</v>
      </c>
      <c r="AB109" s="361">
        <f t="shared" si="61"/>
        <v>39162.111964471849</v>
      </c>
      <c r="AC109" s="361">
        <f t="shared" si="56"/>
        <v>37153.798530396365</v>
      </c>
      <c r="AD109" s="362">
        <f t="shared" si="62"/>
        <v>28979.962853709167</v>
      </c>
      <c r="AE109" s="277"/>
      <c r="AL109" s="398"/>
      <c r="AN109" s="19"/>
    </row>
    <row r="110" spans="1:40" ht="40.5" customHeight="1">
      <c r="A110" s="188">
        <v>60</v>
      </c>
      <c r="B110" s="189">
        <v>125</v>
      </c>
      <c r="C110" s="190">
        <v>4.5999999999999996</v>
      </c>
      <c r="D110" s="191">
        <f>E110*F110</f>
        <v>8600005.2540000007</v>
      </c>
      <c r="E110" s="192">
        <v>80.58</v>
      </c>
      <c r="F110" s="191">
        <v>106726.3</v>
      </c>
      <c r="G110" s="193">
        <f>$AF$51</f>
        <v>0.98</v>
      </c>
      <c r="H110" s="192">
        <f>$AG$51</f>
        <v>8100</v>
      </c>
      <c r="I110" s="192">
        <f>$AH$51</f>
        <v>135</v>
      </c>
      <c r="J110" s="192">
        <f>D110*G110/H110+I110</f>
        <v>1175.4944628296296</v>
      </c>
      <c r="K110" s="109"/>
      <c r="L110" s="103">
        <f>J110/E110</f>
        <v>14.587918377136132</v>
      </c>
      <c r="M110" s="91">
        <f t="shared" si="66"/>
        <v>135932.87578695032</v>
      </c>
      <c r="N110" s="92">
        <f t="shared" si="67"/>
        <v>128624.65665861966</v>
      </c>
      <c r="O110" s="93">
        <f t="shared" si="68"/>
        <v>119620.93069251628</v>
      </c>
      <c r="P110" s="353"/>
      <c r="Q110" s="384">
        <v>50</v>
      </c>
      <c r="R110" s="359" t="s">
        <v>1</v>
      </c>
      <c r="S110" s="359">
        <v>8400000</v>
      </c>
      <c r="T110" s="359">
        <v>431</v>
      </c>
      <c r="U110" s="359">
        <f t="shared" si="58"/>
        <v>19489.559164733178</v>
      </c>
      <c r="V110" s="356">
        <f t="shared" si="65"/>
        <v>0.92</v>
      </c>
      <c r="W110" s="357">
        <f>$AG$70</f>
        <v>8100</v>
      </c>
      <c r="X110" s="357">
        <f>$AH$70</f>
        <v>50</v>
      </c>
      <c r="Y110" s="358">
        <f t="shared" si="59"/>
        <v>1004.074074074074</v>
      </c>
      <c r="Z110" s="359"/>
      <c r="AA110" s="360">
        <f t="shared" si="60"/>
        <v>2.3296382229096846</v>
      </c>
      <c r="AB110" s="361">
        <f t="shared" si="61"/>
        <v>25814.910037647856</v>
      </c>
      <c r="AC110" s="361">
        <f t="shared" si="56"/>
        <v>24491.068497255656</v>
      </c>
      <c r="AD110" s="362">
        <f t="shared" si="62"/>
        <v>19103.033427859413</v>
      </c>
      <c r="AE110" s="277"/>
      <c r="AL110" s="398"/>
      <c r="AN110" s="19"/>
    </row>
    <row r="111" spans="1:40" ht="40.5" customHeight="1">
      <c r="A111" s="188">
        <v>60</v>
      </c>
      <c r="B111" s="189">
        <v>125</v>
      </c>
      <c r="C111" s="190">
        <v>5</v>
      </c>
      <c r="D111" s="191">
        <f>E111*F111</f>
        <v>8300005.3019999992</v>
      </c>
      <c r="E111" s="192">
        <v>74.63</v>
      </c>
      <c r="F111" s="241">
        <v>111215.4</v>
      </c>
      <c r="G111" s="193">
        <f>$AF$51</f>
        <v>0.98</v>
      </c>
      <c r="H111" s="192">
        <f>$AG$51</f>
        <v>8100</v>
      </c>
      <c r="I111" s="192">
        <f>$AH$51</f>
        <v>135</v>
      </c>
      <c r="J111" s="192">
        <f>D111*G111/H111+I111</f>
        <v>1139.1981723407407</v>
      </c>
      <c r="K111" s="109"/>
      <c r="L111" s="103">
        <f>J111/E111</f>
        <v>15.264614395561313</v>
      </c>
      <c r="M111" s="91">
        <f t="shared" si="66"/>
        <v>142238.45232227587</v>
      </c>
      <c r="N111" s="92">
        <f t="shared" si="67"/>
        <v>134591.22370279866</v>
      </c>
      <c r="O111" s="93">
        <f t="shared" si="68"/>
        <v>125169.83804360277</v>
      </c>
      <c r="P111" s="353"/>
      <c r="Q111" s="384">
        <v>50</v>
      </c>
      <c r="R111" s="359" t="s">
        <v>20</v>
      </c>
      <c r="S111" s="359">
        <v>8350000</v>
      </c>
      <c r="T111" s="359">
        <v>352.1</v>
      </c>
      <c r="U111" s="359">
        <f t="shared" si="58"/>
        <v>23714.85373473445</v>
      </c>
      <c r="V111" s="356">
        <f t="shared" si="65"/>
        <v>0.92</v>
      </c>
      <c r="W111" s="357">
        <f>$AG$70</f>
        <v>8100</v>
      </c>
      <c r="X111" s="357">
        <f>AH70</f>
        <v>50</v>
      </c>
      <c r="Y111" s="358">
        <f t="shared" si="59"/>
        <v>998.39506172839504</v>
      </c>
      <c r="Z111" s="359"/>
      <c r="AA111" s="360">
        <f t="shared" si="60"/>
        <v>2.8355440548946178</v>
      </c>
      <c r="AB111" s="361">
        <f t="shared" si="61"/>
        <v>31420.893581264681</v>
      </c>
      <c r="AC111" s="361">
        <f t="shared" si="56"/>
        <v>29809.56570530239</v>
      </c>
      <c r="AD111" s="362">
        <f t="shared" si="62"/>
        <v>23251.461250135864</v>
      </c>
      <c r="AE111" s="277"/>
      <c r="AL111" s="398"/>
      <c r="AN111" s="19"/>
    </row>
    <row r="112" spans="1:40" ht="40.5" customHeight="1">
      <c r="A112" s="194" t="s">
        <v>50</v>
      </c>
      <c r="B112" s="146">
        <v>80</v>
      </c>
      <c r="C112" s="195">
        <v>1.7</v>
      </c>
      <c r="D112" s="147"/>
      <c r="E112" s="149">
        <v>241.55</v>
      </c>
      <c r="F112" s="120"/>
      <c r="G112" s="148"/>
      <c r="H112" s="149"/>
      <c r="I112" s="149"/>
      <c r="J112" s="248">
        <v>1020</v>
      </c>
      <c r="K112" s="249">
        <v>1170</v>
      </c>
      <c r="L112" s="103">
        <f>K112/E112</f>
        <v>4.8437176567998339</v>
      </c>
      <c r="M112" s="91">
        <f t="shared" si="66"/>
        <v>45134.641801998448</v>
      </c>
      <c r="N112" s="92">
        <f t="shared" si="67"/>
        <v>42708.04815672971</v>
      </c>
      <c r="O112" s="93">
        <f t="shared" si="68"/>
        <v>39718.484785758636</v>
      </c>
      <c r="P112" s="353"/>
      <c r="Q112" s="384">
        <v>76</v>
      </c>
      <c r="R112" s="359" t="s">
        <v>20</v>
      </c>
      <c r="S112" s="359">
        <v>8350000</v>
      </c>
      <c r="T112" s="359">
        <v>261.10000000000002</v>
      </c>
      <c r="U112" s="359">
        <f t="shared" si="58"/>
        <v>31980.08425890463</v>
      </c>
      <c r="V112" s="356">
        <f t="shared" si="65"/>
        <v>0.92</v>
      </c>
      <c r="W112" s="357">
        <f>$AG$70</f>
        <v>8100</v>
      </c>
      <c r="X112" s="357">
        <f>$AH$70</f>
        <v>50</v>
      </c>
      <c r="Y112" s="358">
        <f t="shared" si="59"/>
        <v>998.39506172839504</v>
      </c>
      <c r="Z112" s="359"/>
      <c r="AA112" s="360">
        <f t="shared" si="60"/>
        <v>3.8238033769758522</v>
      </c>
      <c r="AB112" s="361">
        <f t="shared" si="61"/>
        <v>42371.875258381064</v>
      </c>
      <c r="AC112" s="361">
        <f t="shared" si="56"/>
        <v>40198.958578464088</v>
      </c>
      <c r="AD112" s="362">
        <f t="shared" si="62"/>
        <v>31355.187691201987</v>
      </c>
      <c r="AE112" s="277"/>
      <c r="AL112" s="398"/>
      <c r="AN112" s="19"/>
    </row>
    <row r="113" spans="1:40" ht="40.5" customHeight="1">
      <c r="A113" s="196" t="s">
        <v>60</v>
      </c>
      <c r="B113" s="151">
        <v>80</v>
      </c>
      <c r="C113" s="197">
        <v>2</v>
      </c>
      <c r="D113" s="120"/>
      <c r="E113" s="120">
        <v>206.61</v>
      </c>
      <c r="F113" s="120"/>
      <c r="G113" s="152"/>
      <c r="H113" s="153"/>
      <c r="I113" s="153"/>
      <c r="J113" s="149">
        <v>930</v>
      </c>
      <c r="K113" s="153">
        <v>1100</v>
      </c>
      <c r="L113" s="103">
        <f>K113/E113</f>
        <v>5.324040462707516</v>
      </c>
      <c r="M113" s="91">
        <f t="shared" si="66"/>
        <v>49610.377038865488</v>
      </c>
      <c r="N113" s="92">
        <f t="shared" si="67"/>
        <v>46943.152466883475</v>
      </c>
      <c r="O113" s="93">
        <f t="shared" si="68"/>
        <v>43657.131794201632</v>
      </c>
      <c r="P113" s="353"/>
      <c r="Q113" s="384">
        <v>76</v>
      </c>
      <c r="R113" s="359" t="s">
        <v>19</v>
      </c>
      <c r="S113" s="359">
        <v>8350000</v>
      </c>
      <c r="T113" s="359">
        <v>185.2</v>
      </c>
      <c r="U113" s="366">
        <f>S113/T113</f>
        <v>45086.393088552919</v>
      </c>
      <c r="V113" s="363">
        <f>$AF$76</f>
        <v>0.92</v>
      </c>
      <c r="W113" s="364">
        <f>$AG$76</f>
        <v>8100</v>
      </c>
      <c r="X113" s="364">
        <f>$AH$76</f>
        <v>100</v>
      </c>
      <c r="Y113" s="365">
        <f>S113*V113/W113+X113</f>
        <v>1048.3950617283949</v>
      </c>
      <c r="Z113" s="366"/>
      <c r="AA113" s="367">
        <f>Y113/T113</f>
        <v>5.6608804628963014</v>
      </c>
      <c r="AB113" s="368">
        <f>AD113/0.74</f>
        <v>62728.675399661712</v>
      </c>
      <c r="AC113" s="368">
        <f t="shared" si="56"/>
        <v>59511.820250961115</v>
      </c>
      <c r="AD113" s="369">
        <f>AA113*$AG$17</f>
        <v>46419.219795749668</v>
      </c>
      <c r="AE113" s="277"/>
      <c r="AL113" s="398"/>
      <c r="AN113" s="19"/>
    </row>
    <row r="114" spans="1:40" ht="31.5" customHeight="1">
      <c r="A114" s="170">
        <v>80</v>
      </c>
      <c r="B114" s="123">
        <v>80</v>
      </c>
      <c r="C114" s="179">
        <v>2</v>
      </c>
      <c r="D114" s="171">
        <v>8350000</v>
      </c>
      <c r="E114" s="171">
        <v>206.61</v>
      </c>
      <c r="F114" s="120">
        <f>D114/E114</f>
        <v>40414.307148734326</v>
      </c>
      <c r="G114" s="171"/>
      <c r="H114" s="171"/>
      <c r="I114" s="171"/>
      <c r="J114" s="109"/>
      <c r="K114" s="122">
        <f>AF40</f>
        <v>1035</v>
      </c>
      <c r="L114" s="103">
        <f>K114/E114</f>
        <v>5.0094380717293445</v>
      </c>
      <c r="M114" s="91">
        <f t="shared" si="66"/>
        <v>46678.854759296162</v>
      </c>
      <c r="N114" s="92">
        <f t="shared" si="67"/>
        <v>44169.238912022171</v>
      </c>
      <c r="O114" s="93">
        <f t="shared" si="68"/>
        <v>41077.392188180624</v>
      </c>
      <c r="P114" s="353"/>
      <c r="Q114" s="384">
        <v>89</v>
      </c>
      <c r="R114" s="359" t="s">
        <v>20</v>
      </c>
      <c r="S114" s="359">
        <v>8350000</v>
      </c>
      <c r="T114" s="359">
        <v>222.2</v>
      </c>
      <c r="U114" s="359">
        <f>S114/T114</f>
        <v>37578.757875787582</v>
      </c>
      <c r="V114" s="356">
        <f>$AF$70</f>
        <v>0.92</v>
      </c>
      <c r="W114" s="357">
        <f>$AG$70</f>
        <v>8100</v>
      </c>
      <c r="X114" s="357">
        <f>X112</f>
        <v>50</v>
      </c>
      <c r="Y114" s="358">
        <f>S114*V114/W114+X114</f>
        <v>998.39506172839504</v>
      </c>
      <c r="Z114" s="359"/>
      <c r="AA114" s="360">
        <f>Y114/T114</f>
        <v>4.493227100487827</v>
      </c>
      <c r="AB114" s="361">
        <f>AD114/0.74</f>
        <v>49789.813816216469</v>
      </c>
      <c r="AC114" s="361">
        <f t="shared" si="56"/>
        <v>47236.490030769462</v>
      </c>
      <c r="AD114" s="362">
        <f>AA114*$AG$17</f>
        <v>36844.462224000185</v>
      </c>
      <c r="AE114" s="277"/>
      <c r="AL114" s="398"/>
      <c r="AN114" s="19"/>
    </row>
    <row r="115" spans="1:40" ht="21" thickBot="1">
      <c r="A115" s="150" t="s">
        <v>68</v>
      </c>
      <c r="B115" s="151">
        <v>80</v>
      </c>
      <c r="C115" s="180">
        <v>3</v>
      </c>
      <c r="D115" s="120"/>
      <c r="E115" s="120">
        <v>140.25</v>
      </c>
      <c r="F115" s="120"/>
      <c r="G115" s="120"/>
      <c r="H115" s="120"/>
      <c r="I115" s="120"/>
      <c r="J115" s="248">
        <v>1020</v>
      </c>
      <c r="K115" s="249">
        <v>1065</v>
      </c>
      <c r="L115" s="103">
        <f>K115/E115</f>
        <v>7.5935828877005349</v>
      </c>
      <c r="M115" s="91">
        <f t="shared" si="66"/>
        <v>70758.385999027712</v>
      </c>
      <c r="N115" s="92">
        <f t="shared" si="67"/>
        <v>66954.17169800472</v>
      </c>
      <c r="O115" s="93">
        <f t="shared" si="68"/>
        <v>62267.379679144389</v>
      </c>
      <c r="P115" s="353"/>
      <c r="Q115" s="386">
        <v>100</v>
      </c>
      <c r="R115" s="387" t="s">
        <v>19</v>
      </c>
      <c r="S115" s="387">
        <v>8350000</v>
      </c>
      <c r="T115" s="387">
        <v>136.6</v>
      </c>
      <c r="U115" s="388">
        <f>S115/T115</f>
        <v>61127.379209370425</v>
      </c>
      <c r="V115" s="370">
        <f>$AF$76</f>
        <v>0.92</v>
      </c>
      <c r="W115" s="371">
        <f>$AG$76</f>
        <v>8100</v>
      </c>
      <c r="X115" s="371">
        <f>$AH$76</f>
        <v>100</v>
      </c>
      <c r="Y115" s="372">
        <f>S115*V115/W115+X115</f>
        <v>1048.3950617283949</v>
      </c>
      <c r="Z115" s="372"/>
      <c r="AA115" s="373">
        <f>Y115/T115</f>
        <v>7.6749272454494504</v>
      </c>
      <c r="AB115" s="374">
        <f>AD115/0.74</f>
        <v>85046.491098223632</v>
      </c>
      <c r="AC115" s="374">
        <f t="shared" si="56"/>
        <v>80685.132580366015</v>
      </c>
      <c r="AD115" s="375">
        <f>AA115*$AG$17</f>
        <v>62934.403412685489</v>
      </c>
      <c r="AE115" s="277"/>
    </row>
    <row r="116" spans="1:40" ht="36.75" customHeight="1">
      <c r="A116" s="98">
        <v>80</v>
      </c>
      <c r="B116" s="99">
        <v>80</v>
      </c>
      <c r="C116" s="175">
        <v>3</v>
      </c>
      <c r="D116" s="100">
        <f>F116*E116</f>
        <v>7600007.25</v>
      </c>
      <c r="E116" s="100">
        <v>140.25</v>
      </c>
      <c r="F116" s="241">
        <v>54189</v>
      </c>
      <c r="G116" s="101">
        <f>$AF$46</f>
        <v>0.98</v>
      </c>
      <c r="H116" s="102">
        <f>AG46</f>
        <v>8100</v>
      </c>
      <c r="I116" s="102">
        <f>AH46+30</f>
        <v>145</v>
      </c>
      <c r="J116" s="102">
        <f>D116*G116/H116+I116</f>
        <v>1064.5070499999999</v>
      </c>
      <c r="K116" s="109"/>
      <c r="L116" s="103">
        <f t="shared" ref="L116:L122" si="69">J116/E116</f>
        <v>7.590068092691622</v>
      </c>
      <c r="M116" s="91">
        <f t="shared" si="66"/>
        <v>70725.634500081025</v>
      </c>
      <c r="N116" s="92">
        <f t="shared" si="67"/>
        <v>66923.181032334731</v>
      </c>
      <c r="O116" s="93">
        <f t="shared" si="68"/>
        <v>62238.5583600713</v>
      </c>
      <c r="P116" s="353"/>
      <c r="Q116" s="376"/>
      <c r="R116" s="376"/>
      <c r="S116" s="377"/>
      <c r="T116" s="378"/>
      <c r="U116" s="377"/>
      <c r="V116" s="377"/>
      <c r="W116" s="377"/>
      <c r="X116" s="377"/>
      <c r="Y116" s="377"/>
      <c r="Z116" s="379"/>
      <c r="AA116" s="380"/>
      <c r="AB116" s="378"/>
      <c r="AC116" s="378"/>
      <c r="AD116" s="378"/>
      <c r="AE116" s="277"/>
    </row>
    <row r="117" spans="1:40" ht="32.25" customHeight="1">
      <c r="A117" s="299">
        <v>80</v>
      </c>
      <c r="B117" s="123">
        <v>120</v>
      </c>
      <c r="C117" s="179">
        <v>2</v>
      </c>
      <c r="D117" s="171"/>
      <c r="E117" s="171">
        <v>163.93</v>
      </c>
      <c r="F117" s="171"/>
      <c r="G117" s="121"/>
      <c r="H117" s="122"/>
      <c r="I117" s="122">
        <v>1190</v>
      </c>
      <c r="J117" s="122">
        <v>1270</v>
      </c>
      <c r="K117" s="122"/>
      <c r="L117" s="103">
        <f t="shared" si="69"/>
        <v>7.7472091746477147</v>
      </c>
      <c r="M117" s="91">
        <f t="shared" si="66"/>
        <v>72189.903672853703</v>
      </c>
      <c r="N117" s="92">
        <f t="shared" si="67"/>
        <v>68308.726056033614</v>
      </c>
      <c r="O117" s="93">
        <f t="shared" si="68"/>
        <v>63527.11523211126</v>
      </c>
      <c r="P117" s="124"/>
      <c r="Q117" s="346"/>
      <c r="R117" s="344"/>
      <c r="S117" s="344"/>
      <c r="T117" s="345"/>
      <c r="U117" s="280"/>
      <c r="V117" s="280"/>
      <c r="W117" s="280"/>
      <c r="X117" s="280"/>
      <c r="Y117" s="280"/>
      <c r="Z117" s="84"/>
      <c r="AA117" s="282"/>
      <c r="AB117" s="281"/>
      <c r="AC117" s="281"/>
      <c r="AD117" s="281"/>
      <c r="AE117" s="277"/>
    </row>
    <row r="118" spans="1:40" ht="32.25" customHeight="1">
      <c r="A118" s="298">
        <v>80</v>
      </c>
      <c r="B118" s="151">
        <v>120</v>
      </c>
      <c r="C118" s="180">
        <v>2.8</v>
      </c>
      <c r="D118" s="120">
        <v>8600000</v>
      </c>
      <c r="E118" s="120">
        <v>118.48</v>
      </c>
      <c r="F118" s="120">
        <f>D118/E118</f>
        <v>72586.090479405801</v>
      </c>
      <c r="G118" s="152">
        <v>0.98</v>
      </c>
      <c r="H118" s="153">
        <f>AG46</f>
        <v>8100</v>
      </c>
      <c r="I118" s="319">
        <v>162.6</v>
      </c>
      <c r="J118" s="102">
        <f>D118*G118/H118+I118</f>
        <v>1203.0938271604937</v>
      </c>
      <c r="K118" s="153"/>
      <c r="L118" s="103">
        <f t="shared" si="69"/>
        <v>10.15440434807979</v>
      </c>
      <c r="M118" s="91">
        <f>O118/0.88</f>
        <v>94620.585970743487</v>
      </c>
      <c r="N118" s="92">
        <f>O118/0.93</f>
        <v>89533.457692746524</v>
      </c>
      <c r="O118" s="93">
        <f>L118*$AG$17</f>
        <v>83266.115654254274</v>
      </c>
      <c r="P118" s="124"/>
      <c r="Q118" s="346"/>
      <c r="R118" s="344"/>
      <c r="S118" s="344"/>
      <c r="T118" s="345"/>
      <c r="U118" s="280"/>
      <c r="V118" s="280"/>
      <c r="W118" s="280"/>
      <c r="X118" s="280"/>
      <c r="Y118" s="280"/>
      <c r="Z118" s="84"/>
      <c r="AA118" s="282"/>
      <c r="AB118" s="281"/>
      <c r="AC118" s="281"/>
      <c r="AD118" s="281"/>
      <c r="AE118" s="277"/>
    </row>
    <row r="119" spans="1:40" ht="32.25" customHeight="1">
      <c r="A119" s="298" t="s">
        <v>68</v>
      </c>
      <c r="B119" s="151">
        <v>120</v>
      </c>
      <c r="C119" s="180">
        <v>2.8</v>
      </c>
      <c r="D119" s="120"/>
      <c r="E119" s="120">
        <v>118.48</v>
      </c>
      <c r="F119" s="120"/>
      <c r="G119" s="152"/>
      <c r="H119" s="153"/>
      <c r="I119" s="319">
        <v>1020</v>
      </c>
      <c r="J119" s="102">
        <v>1130</v>
      </c>
      <c r="K119" s="153"/>
      <c r="L119" s="103">
        <f>J119/E119</f>
        <v>9.5374746792707619</v>
      </c>
      <c r="M119" s="91">
        <f>O119/0.88</f>
        <v>88871.923147750291</v>
      </c>
      <c r="N119" s="92">
        <f>O119/0.93</f>
        <v>84093.862763462632</v>
      </c>
      <c r="O119" s="93">
        <f>L119*$AG$17</f>
        <v>78207.292370020252</v>
      </c>
      <c r="P119" s="124"/>
      <c r="Q119" s="346"/>
      <c r="R119" s="344"/>
      <c r="S119" s="344"/>
      <c r="T119" s="345"/>
      <c r="U119" s="280"/>
      <c r="V119" s="280"/>
      <c r="W119" s="280"/>
      <c r="X119" s="280"/>
      <c r="Y119" s="280"/>
      <c r="Z119" s="84"/>
      <c r="AA119" s="282"/>
      <c r="AB119" s="281"/>
      <c r="AC119" s="281"/>
      <c r="AD119" s="281"/>
      <c r="AE119" s="277"/>
    </row>
    <row r="120" spans="1:40" ht="56.25" customHeight="1">
      <c r="A120" s="100">
        <v>80</v>
      </c>
      <c r="B120" s="100">
        <v>120</v>
      </c>
      <c r="C120" s="100">
        <v>3</v>
      </c>
      <c r="D120" s="100">
        <f>'[1]Прайс лист'!F127*E120</f>
        <v>8600008.8439999986</v>
      </c>
      <c r="E120" s="100">
        <v>110.86</v>
      </c>
      <c r="F120" s="241">
        <v>68555</v>
      </c>
      <c r="G120" s="101">
        <v>0.98</v>
      </c>
      <c r="H120" s="102">
        <f>$AG$46</f>
        <v>8100</v>
      </c>
      <c r="I120" s="102">
        <f>AH46+20</f>
        <v>135</v>
      </c>
      <c r="J120" s="102">
        <f>D120*G120/H120+I120</f>
        <v>1175.4948971753086</v>
      </c>
      <c r="K120" s="109"/>
      <c r="L120" s="103">
        <f t="shared" si="69"/>
        <v>10.603417798803072</v>
      </c>
      <c r="M120" s="91">
        <f t="shared" si="66"/>
        <v>98804.574943392246</v>
      </c>
      <c r="N120" s="92">
        <f t="shared" si="67"/>
        <v>93492.501021704491</v>
      </c>
      <c r="O120" s="93">
        <f t="shared" si="68"/>
        <v>86948.025950185183</v>
      </c>
      <c r="P120" s="124"/>
      <c r="Q120" s="346"/>
      <c r="R120" s="344"/>
      <c r="S120" s="344"/>
      <c r="T120" s="345"/>
      <c r="U120" s="280"/>
      <c r="V120" s="280"/>
      <c r="W120" s="280"/>
      <c r="X120" s="280"/>
      <c r="Y120" s="280"/>
      <c r="Z120" s="84"/>
      <c r="AA120" s="282"/>
      <c r="AB120" s="281"/>
      <c r="AC120" s="281"/>
      <c r="AD120" s="281"/>
      <c r="AE120" s="277"/>
    </row>
    <row r="121" spans="1:40" ht="32.25" customHeight="1">
      <c r="A121" s="188">
        <v>80</v>
      </c>
      <c r="B121" s="189">
        <v>150</v>
      </c>
      <c r="C121" s="198">
        <v>4</v>
      </c>
      <c r="D121" s="191">
        <f>E121*F121</f>
        <v>8300005.4029999999</v>
      </c>
      <c r="E121" s="192">
        <v>72.83</v>
      </c>
      <c r="F121" s="241">
        <v>113964.1</v>
      </c>
      <c r="G121" s="193">
        <f>$AF$51</f>
        <v>0.98</v>
      </c>
      <c r="H121" s="192">
        <f>$AG$51</f>
        <v>8100</v>
      </c>
      <c r="I121" s="192">
        <f>$AH$51</f>
        <v>135</v>
      </c>
      <c r="J121" s="192">
        <f>D121*G121/H121+I121</f>
        <v>1139.1981845604937</v>
      </c>
      <c r="K121" s="109"/>
      <c r="L121" s="103">
        <f t="shared" si="69"/>
        <v>15.641880880962429</v>
      </c>
      <c r="M121" s="91">
        <f t="shared" si="66"/>
        <v>145753.8900271499</v>
      </c>
      <c r="N121" s="92">
        <f t="shared" si="67"/>
        <v>137917.65938052893</v>
      </c>
      <c r="O121" s="93">
        <f t="shared" si="68"/>
        <v>128263.42322389192</v>
      </c>
      <c r="P121" s="124"/>
      <c r="Q121" s="346"/>
      <c r="R121" s="344"/>
      <c r="S121" s="344"/>
      <c r="T121" s="345"/>
      <c r="U121" s="280"/>
      <c r="V121" s="280"/>
      <c r="W121" s="280"/>
      <c r="X121" s="280"/>
      <c r="Y121" s="280"/>
      <c r="Z121" s="84"/>
      <c r="AA121" s="282"/>
      <c r="AB121" s="281"/>
      <c r="AC121" s="281"/>
      <c r="AD121" s="281"/>
      <c r="AE121" s="277"/>
    </row>
    <row r="122" spans="1:40" ht="32.25" customHeight="1">
      <c r="A122" s="188">
        <v>80</v>
      </c>
      <c r="B122" s="189">
        <v>150</v>
      </c>
      <c r="C122" s="198">
        <v>4.5</v>
      </c>
      <c r="D122" s="191">
        <f>E122*F122</f>
        <v>8300003.8379999995</v>
      </c>
      <c r="E122" s="192">
        <v>65.19</v>
      </c>
      <c r="F122" s="241">
        <v>127320.2</v>
      </c>
      <c r="G122" s="193">
        <f>$AF$51</f>
        <v>0.98</v>
      </c>
      <c r="H122" s="192">
        <f>$AG$51</f>
        <v>8100</v>
      </c>
      <c r="I122" s="192">
        <f>$AH$51</f>
        <v>135</v>
      </c>
      <c r="J122" s="192">
        <f>D122*G122/H122+I122</f>
        <v>1139.1979952148147</v>
      </c>
      <c r="K122" s="109"/>
      <c r="L122" s="103">
        <f t="shared" si="69"/>
        <v>17.475042110980439</v>
      </c>
      <c r="M122" s="91">
        <f t="shared" si="66"/>
        <v>162835.61967049955</v>
      </c>
      <c r="N122" s="92">
        <f t="shared" si="67"/>
        <v>154081.01646240818</v>
      </c>
      <c r="O122" s="93">
        <f t="shared" si="68"/>
        <v>143295.34531003961</v>
      </c>
      <c r="P122" s="124"/>
      <c r="Q122" s="346"/>
      <c r="R122" s="344"/>
      <c r="S122" s="344"/>
      <c r="T122" s="345"/>
      <c r="U122" s="280"/>
      <c r="V122" s="280"/>
      <c r="W122" s="280"/>
      <c r="X122" s="280"/>
      <c r="Y122" s="280"/>
      <c r="Z122" s="84"/>
      <c r="AA122" s="282"/>
      <c r="AB122" s="281"/>
      <c r="AC122" s="281"/>
      <c r="AD122" s="281"/>
      <c r="AE122" s="277"/>
    </row>
    <row r="123" spans="1:40" ht="32.25" customHeight="1">
      <c r="A123" s="194">
        <v>100</v>
      </c>
      <c r="B123" s="146">
        <v>100</v>
      </c>
      <c r="C123" s="161">
        <v>2.8</v>
      </c>
      <c r="D123" s="147"/>
      <c r="E123" s="149">
        <v>118.48</v>
      </c>
      <c r="F123" s="120"/>
      <c r="G123" s="148"/>
      <c r="H123" s="149"/>
      <c r="I123" s="149"/>
      <c r="J123" s="248">
        <v>1020</v>
      </c>
      <c r="K123" s="249">
        <v>1200</v>
      </c>
      <c r="L123" s="103">
        <f>K123/E123</f>
        <v>10.12829169480081</v>
      </c>
      <c r="M123" s="91">
        <f t="shared" si="66"/>
        <v>94377.263519734814</v>
      </c>
      <c r="N123" s="92">
        <f t="shared" si="67"/>
        <v>89303.217093942614</v>
      </c>
      <c r="O123" s="93">
        <f t="shared" si="68"/>
        <v>83051.991897366635</v>
      </c>
      <c r="P123" s="124"/>
      <c r="Q123" s="346"/>
      <c r="R123" s="344"/>
      <c r="S123" s="344"/>
      <c r="T123" s="345"/>
      <c r="U123" s="280"/>
      <c r="V123" s="280"/>
      <c r="W123" s="280"/>
      <c r="X123" s="280"/>
      <c r="Y123" s="280"/>
      <c r="Z123" s="84"/>
      <c r="AA123" s="282"/>
      <c r="AB123" s="281"/>
      <c r="AC123" s="281"/>
      <c r="AD123" s="281"/>
      <c r="AE123" s="277"/>
    </row>
    <row r="124" spans="1:40" ht="20.25">
      <c r="A124" s="194" t="s">
        <v>51</v>
      </c>
      <c r="B124" s="146">
        <v>100</v>
      </c>
      <c r="C124" s="161">
        <v>3</v>
      </c>
      <c r="D124" s="147"/>
      <c r="E124" s="147">
        <v>110.86</v>
      </c>
      <c r="F124" s="120"/>
      <c r="G124" s="148"/>
      <c r="H124" s="149"/>
      <c r="I124" s="149"/>
      <c r="J124" s="248">
        <v>1020</v>
      </c>
      <c r="K124" s="249">
        <v>1134</v>
      </c>
      <c r="L124" s="103">
        <f>K124/E124</f>
        <v>10.229117806242106</v>
      </c>
      <c r="M124" s="91">
        <f t="shared" si="66"/>
        <v>95316.779558165086</v>
      </c>
      <c r="N124" s="92">
        <f t="shared" si="67"/>
        <v>90192.221517403523</v>
      </c>
      <c r="O124" s="93">
        <f t="shared" ref="O124:O130" si="70">L124*$AG$17</f>
        <v>83878.766011185275</v>
      </c>
      <c r="P124" s="124"/>
      <c r="Q124" s="284"/>
      <c r="R124" s="280"/>
      <c r="S124" s="280"/>
      <c r="T124" s="281"/>
      <c r="U124" s="280"/>
      <c r="V124" s="280"/>
      <c r="W124" s="280"/>
      <c r="X124" s="280"/>
      <c r="Y124" s="280"/>
      <c r="Z124" s="84"/>
      <c r="AA124" s="282"/>
      <c r="AB124" s="281"/>
      <c r="AC124" s="281"/>
      <c r="AD124" s="281"/>
      <c r="AE124" s="277"/>
    </row>
    <row r="125" spans="1:40" ht="20.25">
      <c r="A125" s="117">
        <v>100</v>
      </c>
      <c r="B125" s="118">
        <v>100</v>
      </c>
      <c r="C125" s="187">
        <v>3</v>
      </c>
      <c r="D125" s="119">
        <f>E125*F125</f>
        <v>8600008.8439999986</v>
      </c>
      <c r="E125" s="119">
        <v>110.86</v>
      </c>
      <c r="F125" s="241">
        <v>77575.399999999994</v>
      </c>
      <c r="G125" s="101">
        <f>$AF$46</f>
        <v>0.98</v>
      </c>
      <c r="H125" s="102">
        <f>AG46</f>
        <v>8100</v>
      </c>
      <c r="I125" s="102">
        <f>AH46</f>
        <v>115</v>
      </c>
      <c r="J125" s="102">
        <f t="shared" ref="J125:J136" si="71">D125*G125/H125+I125</f>
        <v>1155.4948971753086</v>
      </c>
      <c r="K125" s="109"/>
      <c r="L125" s="103">
        <f t="shared" ref="L125:L136" si="72">J125/E125</f>
        <v>10.423010077352593</v>
      </c>
      <c r="M125" s="91">
        <f t="shared" si="66"/>
        <v>97123.502993512811</v>
      </c>
      <c r="N125" s="92">
        <f t="shared" si="67"/>
        <v>91901.809284184157</v>
      </c>
      <c r="O125" s="93">
        <f t="shared" si="70"/>
        <v>85468.682634291268</v>
      </c>
      <c r="P125" s="124"/>
      <c r="Q125" s="284"/>
      <c r="R125" s="280"/>
      <c r="S125" s="280"/>
      <c r="T125" s="281"/>
      <c r="U125" s="280"/>
      <c r="V125" s="280"/>
      <c r="W125" s="280"/>
      <c r="X125" s="280"/>
      <c r="Y125" s="280"/>
      <c r="Z125" s="84"/>
      <c r="AA125" s="282"/>
      <c r="AB125" s="281"/>
      <c r="AC125" s="281"/>
      <c r="AD125" s="281"/>
      <c r="AE125" s="277"/>
    </row>
    <row r="126" spans="1:40" ht="20.25">
      <c r="A126" s="98">
        <v>100</v>
      </c>
      <c r="B126" s="99">
        <v>100</v>
      </c>
      <c r="C126" s="175">
        <v>4</v>
      </c>
      <c r="D126" s="100">
        <f>F126*E126</f>
        <v>8600004.3639999982</v>
      </c>
      <c r="E126" s="100">
        <v>84.46</v>
      </c>
      <c r="F126" s="241">
        <v>101823.4</v>
      </c>
      <c r="G126" s="101">
        <f>AF46</f>
        <v>0.98</v>
      </c>
      <c r="H126" s="102">
        <f>AG46</f>
        <v>8100</v>
      </c>
      <c r="I126" s="102">
        <f>AH46</f>
        <v>115</v>
      </c>
      <c r="J126" s="102">
        <f t="shared" si="71"/>
        <v>1155.4943551506171</v>
      </c>
      <c r="K126" s="109"/>
      <c r="L126" s="103">
        <f t="shared" si="72"/>
        <v>13.680965606803424</v>
      </c>
      <c r="M126" s="91">
        <f t="shared" si="66"/>
        <v>127481.72497248645</v>
      </c>
      <c r="N126" s="92">
        <f>O126/0.93</f>
        <v>120627.86879116997</v>
      </c>
      <c r="O126" s="93">
        <f t="shared" si="70"/>
        <v>112183.91797578808</v>
      </c>
      <c r="P126" s="124"/>
      <c r="Q126" s="284"/>
      <c r="R126" s="280"/>
      <c r="S126" s="280"/>
      <c r="T126" s="281"/>
      <c r="U126" s="280"/>
      <c r="V126" s="280"/>
      <c r="W126" s="280"/>
      <c r="X126" s="280"/>
      <c r="Y126" s="280"/>
      <c r="Z126" s="84"/>
      <c r="AA126" s="282"/>
      <c r="AB126" s="281"/>
      <c r="AC126" s="281"/>
      <c r="AD126" s="281"/>
      <c r="AE126" s="277"/>
    </row>
    <row r="127" spans="1:40" ht="20.25">
      <c r="A127" s="98">
        <v>100</v>
      </c>
      <c r="B127" s="99">
        <v>100</v>
      </c>
      <c r="C127" s="175">
        <v>4.5</v>
      </c>
      <c r="D127" s="100">
        <f>E127*F127</f>
        <v>8300007.4559999993</v>
      </c>
      <c r="E127" s="100">
        <v>75.64</v>
      </c>
      <c r="F127" s="241">
        <v>109730.4</v>
      </c>
      <c r="G127" s="101">
        <f>$AF$46</f>
        <v>0.98</v>
      </c>
      <c r="H127" s="102">
        <f>$AG$46</f>
        <v>8100</v>
      </c>
      <c r="I127" s="102">
        <f>AH46+15</f>
        <v>130</v>
      </c>
      <c r="J127" s="102">
        <f>D127*G127/H127+I127</f>
        <v>1134.1984329481479</v>
      </c>
      <c r="K127" s="109"/>
      <c r="L127" s="103">
        <f t="shared" si="72"/>
        <v>14.994691075464674</v>
      </c>
      <c r="M127" s="91">
        <f t="shared" si="66"/>
        <v>139723.25774864809</v>
      </c>
      <c r="N127" s="92">
        <f t="shared" si="67"/>
        <v>132211.25464388207</v>
      </c>
      <c r="O127" s="93">
        <f t="shared" si="70"/>
        <v>122956.46681881032</v>
      </c>
      <c r="P127" s="124"/>
      <c r="Q127" s="284"/>
      <c r="R127" s="280"/>
      <c r="S127" s="280"/>
      <c r="T127" s="281"/>
      <c r="U127" s="280"/>
      <c r="V127" s="280"/>
      <c r="W127" s="280"/>
      <c r="X127" s="280"/>
      <c r="Y127" s="280"/>
      <c r="Z127" s="84"/>
      <c r="AA127" s="282"/>
      <c r="AB127" s="281"/>
      <c r="AC127" s="281"/>
      <c r="AD127" s="281"/>
      <c r="AE127" s="277"/>
    </row>
    <row r="128" spans="1:40" ht="20.25">
      <c r="A128" s="150">
        <v>125</v>
      </c>
      <c r="B128" s="151">
        <v>125</v>
      </c>
      <c r="C128" s="180">
        <v>3</v>
      </c>
      <c r="D128" s="120"/>
      <c r="E128" s="120">
        <v>87.95</v>
      </c>
      <c r="F128" s="120"/>
      <c r="G128" s="152"/>
      <c r="H128" s="153"/>
      <c r="I128" s="153"/>
      <c r="J128" s="153">
        <v>1035</v>
      </c>
      <c r="K128" s="153">
        <v>1390</v>
      </c>
      <c r="L128" s="103">
        <f>K128/E128</f>
        <v>15.80443433769187</v>
      </c>
      <c r="M128" s="91">
        <f>O128/0.88</f>
        <v>147268.59269212879</v>
      </c>
      <c r="N128" s="92">
        <f>O128/0.93</f>
        <v>139350.9264183584</v>
      </c>
      <c r="O128" s="93">
        <f>L128*$AG$17</f>
        <v>129596.36156907333</v>
      </c>
      <c r="P128" s="124"/>
      <c r="Q128" s="284"/>
      <c r="R128" s="280"/>
      <c r="S128" s="280"/>
      <c r="T128" s="281"/>
      <c r="U128" s="280"/>
      <c r="V128" s="280"/>
      <c r="W128" s="280"/>
      <c r="X128" s="280"/>
      <c r="Y128" s="280"/>
      <c r="Z128" s="84"/>
      <c r="AA128" s="282"/>
      <c r="AB128" s="281"/>
      <c r="AC128" s="281"/>
      <c r="AD128" s="281"/>
      <c r="AE128" s="277"/>
    </row>
    <row r="129" spans="1:31" ht="19.5" customHeight="1">
      <c r="A129" s="188">
        <v>125</v>
      </c>
      <c r="B129" s="189">
        <v>125</v>
      </c>
      <c r="C129" s="198">
        <v>4</v>
      </c>
      <c r="D129" s="191">
        <f>E129*F129</f>
        <v>8300001.6460000006</v>
      </c>
      <c r="E129" s="192">
        <v>66.67</v>
      </c>
      <c r="F129" s="241">
        <v>124493.8</v>
      </c>
      <c r="G129" s="193">
        <f>$AF$51</f>
        <v>0.98</v>
      </c>
      <c r="H129" s="192">
        <f>$AG$51</f>
        <v>8100</v>
      </c>
      <c r="I129" s="192">
        <f>I130</f>
        <v>135</v>
      </c>
      <c r="J129" s="192">
        <f t="shared" si="71"/>
        <v>1139.1977300098765</v>
      </c>
      <c r="K129" s="109"/>
      <c r="L129" s="103">
        <f t="shared" si="72"/>
        <v>17.08711159456842</v>
      </c>
      <c r="M129" s="91">
        <f t="shared" si="66"/>
        <v>159220.81258575121</v>
      </c>
      <c r="N129" s="92">
        <f t="shared" si="67"/>
        <v>150660.55384458177</v>
      </c>
      <c r="O129" s="93">
        <f t="shared" si="70"/>
        <v>140114.31507546105</v>
      </c>
      <c r="P129" s="124"/>
      <c r="Q129" s="284"/>
      <c r="R129" s="280"/>
      <c r="S129" s="280"/>
      <c r="T129" s="281"/>
      <c r="U129" s="280"/>
      <c r="V129" s="280"/>
      <c r="W129" s="280"/>
      <c r="X129" s="280"/>
      <c r="Y129" s="280"/>
      <c r="Z129" s="84"/>
      <c r="AA129" s="282"/>
      <c r="AB129" s="281"/>
      <c r="AC129" s="281"/>
      <c r="AD129" s="281"/>
      <c r="AE129" s="277"/>
    </row>
    <row r="130" spans="1:31" ht="28.5" customHeight="1">
      <c r="A130" s="188">
        <v>125</v>
      </c>
      <c r="B130" s="189">
        <v>125</v>
      </c>
      <c r="C130" s="198">
        <v>4.5</v>
      </c>
      <c r="D130" s="191">
        <f t="shared" ref="D130:D138" si="73">E130*F130</f>
        <v>8300001.4500000002</v>
      </c>
      <c r="E130" s="192">
        <v>59.7</v>
      </c>
      <c r="F130" s="241">
        <v>139028.5</v>
      </c>
      <c r="G130" s="193">
        <f>$AF$51</f>
        <v>0.98</v>
      </c>
      <c r="H130" s="192">
        <f>$AG$51</f>
        <v>8100</v>
      </c>
      <c r="I130" s="192">
        <f>$AH$51</f>
        <v>135</v>
      </c>
      <c r="J130" s="192">
        <f>D130*G130/H130+I130</f>
        <v>1139.1977062962965</v>
      </c>
      <c r="K130" s="109"/>
      <c r="L130" s="103">
        <f>J130/E130</f>
        <v>19.082038631428752</v>
      </c>
      <c r="M130" s="91">
        <f t="shared" si="66"/>
        <v>177809.90542922248</v>
      </c>
      <c r="N130" s="92">
        <f t="shared" si="67"/>
        <v>168250.23309431801</v>
      </c>
      <c r="O130" s="93">
        <f t="shared" si="70"/>
        <v>156472.71677771577</v>
      </c>
      <c r="P130" s="124"/>
      <c r="Q130" s="284"/>
      <c r="R130" s="280"/>
      <c r="S130" s="280"/>
      <c r="T130" s="281"/>
      <c r="U130" s="280"/>
      <c r="V130" s="280"/>
      <c r="W130" s="280"/>
      <c r="X130" s="280"/>
      <c r="Y130" s="280"/>
      <c r="Z130" s="84"/>
      <c r="AA130" s="282"/>
      <c r="AB130" s="281"/>
      <c r="AC130" s="281"/>
      <c r="AD130" s="281"/>
      <c r="AE130" s="277"/>
    </row>
    <row r="131" spans="1:31" ht="28.5" customHeight="1">
      <c r="A131" s="188">
        <v>125</v>
      </c>
      <c r="B131" s="189">
        <v>170</v>
      </c>
      <c r="C131" s="198">
        <v>4</v>
      </c>
      <c r="D131" s="191">
        <f t="shared" si="73"/>
        <v>8300003.1599999992</v>
      </c>
      <c r="E131" s="192">
        <v>56.15</v>
      </c>
      <c r="F131" s="241">
        <v>147818.4</v>
      </c>
      <c r="G131" s="193">
        <f>$AF$51</f>
        <v>0.98</v>
      </c>
      <c r="H131" s="192">
        <f>$AG$51</f>
        <v>8100</v>
      </c>
      <c r="I131" s="192">
        <f>$AH$51</f>
        <v>135</v>
      </c>
      <c r="J131" s="192">
        <f t="shared" si="71"/>
        <v>1139.1979131851851</v>
      </c>
      <c r="K131" s="109"/>
      <c r="L131" s="103">
        <f t="shared" si="72"/>
        <v>20.288475746842121</v>
      </c>
      <c r="M131" s="91">
        <f t="shared" si="66"/>
        <v>189051.70582284703</v>
      </c>
      <c r="N131" s="92">
        <f t="shared" si="67"/>
        <v>178887.6356173176</v>
      </c>
      <c r="O131" s="93">
        <f t="shared" ref="O131:O136" si="74">L131*$AG$17</f>
        <v>166365.50112410539</v>
      </c>
      <c r="P131" s="124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77"/>
    </row>
    <row r="132" spans="1:31" ht="28.5" customHeight="1">
      <c r="A132" s="188">
        <v>125</v>
      </c>
      <c r="B132" s="189">
        <v>170</v>
      </c>
      <c r="C132" s="198">
        <v>4.5</v>
      </c>
      <c r="D132" s="191">
        <f>E132*F132</f>
        <v>8300002.8280000007</v>
      </c>
      <c r="E132" s="192">
        <v>50.18</v>
      </c>
      <c r="F132" s="241">
        <v>165404.6</v>
      </c>
      <c r="G132" s="193">
        <f>$AF$51</f>
        <v>0.98</v>
      </c>
      <c r="H132" s="192">
        <f>$AG$51</f>
        <v>8100</v>
      </c>
      <c r="I132" s="192">
        <f>$AH$51</f>
        <v>135</v>
      </c>
      <c r="J132" s="192">
        <f>D132*G132/H132+I132</f>
        <v>1139.1978730172841</v>
      </c>
      <c r="K132" s="109"/>
      <c r="L132" s="103">
        <f>J132/E132</f>
        <v>22.702229434381909</v>
      </c>
      <c r="M132" s="91">
        <f>O132/0.88</f>
        <v>211543.50154764959</v>
      </c>
      <c r="N132" s="92">
        <f>O132/0.93</f>
        <v>200170.1950128297</v>
      </c>
      <c r="O132" s="93">
        <f>L132*$AG$17</f>
        <v>186158.28136193164</v>
      </c>
      <c r="P132" s="124"/>
      <c r="Q132" s="413"/>
      <c r="R132" s="413"/>
      <c r="S132" s="413"/>
      <c r="T132" s="278"/>
      <c r="U132" s="278"/>
      <c r="V132" s="278"/>
      <c r="W132" s="278"/>
      <c r="X132" s="278"/>
      <c r="Y132" s="278"/>
      <c r="Z132" s="278"/>
      <c r="AA132" s="278"/>
      <c r="AB132" s="278"/>
      <c r="AC132" s="278"/>
      <c r="AD132" s="278"/>
      <c r="AE132" s="277"/>
    </row>
    <row r="133" spans="1:31" ht="21" customHeight="1">
      <c r="A133" s="188">
        <v>150</v>
      </c>
      <c r="B133" s="189">
        <v>150</v>
      </c>
      <c r="C133" s="198">
        <v>4</v>
      </c>
      <c r="D133" s="191">
        <f t="shared" si="73"/>
        <v>8300002.0240000002</v>
      </c>
      <c r="E133" s="192">
        <v>55.19</v>
      </c>
      <c r="F133" s="241">
        <v>150389.6</v>
      </c>
      <c r="G133" s="193">
        <f>$AF$51</f>
        <v>0.98</v>
      </c>
      <c r="H133" s="192">
        <f>$AG$51</f>
        <v>8100</v>
      </c>
      <c r="I133" s="192">
        <f>$AH$51</f>
        <v>135</v>
      </c>
      <c r="J133" s="192">
        <f t="shared" si="71"/>
        <v>1139.1977757432101</v>
      </c>
      <c r="K133" s="109"/>
      <c r="L133" s="103">
        <f t="shared" si="72"/>
        <v>20.641380245392465</v>
      </c>
      <c r="M133" s="91">
        <f t="shared" si="66"/>
        <v>192340.13410479343</v>
      </c>
      <c r="N133" s="92">
        <f t="shared" si="67"/>
        <v>181999.26667980454</v>
      </c>
      <c r="O133" s="93">
        <f t="shared" si="74"/>
        <v>169259.31801221822</v>
      </c>
      <c r="P133" s="124"/>
      <c r="Q133" s="283"/>
      <c r="R133" s="279"/>
      <c r="S133" s="279"/>
      <c r="T133" s="279"/>
      <c r="U133" s="279"/>
      <c r="V133" s="279"/>
      <c r="W133" s="279"/>
      <c r="X133" s="279"/>
      <c r="Y133" s="279"/>
      <c r="Z133" s="84"/>
      <c r="AA133" s="279"/>
      <c r="AB133" s="279"/>
      <c r="AC133" s="279"/>
      <c r="AD133" s="279"/>
      <c r="AE133" s="277"/>
    </row>
    <row r="134" spans="1:31" ht="23.25" customHeight="1">
      <c r="A134" s="188">
        <v>150</v>
      </c>
      <c r="B134" s="189">
        <v>150</v>
      </c>
      <c r="C134" s="198">
        <v>5</v>
      </c>
      <c r="D134" s="191">
        <f t="shared" si="73"/>
        <v>8300002.4759999998</v>
      </c>
      <c r="E134" s="192">
        <v>44.58</v>
      </c>
      <c r="F134" s="241">
        <v>186182.2</v>
      </c>
      <c r="G134" s="193">
        <f>AF51</f>
        <v>0.98</v>
      </c>
      <c r="H134" s="192">
        <f>AG51</f>
        <v>8100</v>
      </c>
      <c r="I134" s="192">
        <f>AH51</f>
        <v>135</v>
      </c>
      <c r="J134" s="192">
        <f t="shared" si="71"/>
        <v>1139.1978304296294</v>
      </c>
      <c r="K134" s="109"/>
      <c r="L134" s="103">
        <f t="shared" si="72"/>
        <v>25.554011449744941</v>
      </c>
      <c r="M134" s="91">
        <f t="shared" si="66"/>
        <v>238116.92487262332</v>
      </c>
      <c r="N134" s="92">
        <f t="shared" si="67"/>
        <v>225314.93966441776</v>
      </c>
      <c r="O134" s="93">
        <f t="shared" si="74"/>
        <v>209542.89388790852</v>
      </c>
      <c r="P134" s="124"/>
      <c r="Q134" s="280"/>
      <c r="R134" s="280"/>
      <c r="S134" s="279"/>
      <c r="T134" s="281"/>
      <c r="U134" s="279"/>
      <c r="V134" s="279"/>
      <c r="W134" s="279"/>
      <c r="X134" s="279"/>
      <c r="Y134" s="279"/>
      <c r="Z134" s="84"/>
      <c r="AA134" s="282"/>
      <c r="AB134" s="281"/>
      <c r="AC134" s="281"/>
      <c r="AD134" s="281"/>
      <c r="AE134" s="277"/>
    </row>
    <row r="135" spans="1:31" ht="23.25" customHeight="1">
      <c r="A135" s="188">
        <v>150</v>
      </c>
      <c r="B135" s="189">
        <v>170</v>
      </c>
      <c r="C135" s="198">
        <v>5</v>
      </c>
      <c r="D135" s="191">
        <f t="shared" si="73"/>
        <v>8300001.4470000006</v>
      </c>
      <c r="E135" s="192">
        <v>41.67</v>
      </c>
      <c r="F135" s="241">
        <v>199184.1</v>
      </c>
      <c r="G135" s="193">
        <f>$AF$51</f>
        <v>0.98</v>
      </c>
      <c r="H135" s="192">
        <f>$AG$51</f>
        <v>8100</v>
      </c>
      <c r="I135" s="192">
        <f>AH51</f>
        <v>135</v>
      </c>
      <c r="J135" s="192">
        <f t="shared" si="71"/>
        <v>1139.1977059333335</v>
      </c>
      <c r="K135" s="109"/>
      <c r="L135" s="103">
        <f t="shared" si="72"/>
        <v>27.338557857771381</v>
      </c>
      <c r="M135" s="91">
        <f t="shared" si="66"/>
        <v>254745.65276559695</v>
      </c>
      <c r="N135" s="92">
        <f t="shared" si="67"/>
        <v>241049.64992873691</v>
      </c>
      <c r="O135" s="93">
        <f t="shared" si="74"/>
        <v>224176.17443372533</v>
      </c>
      <c r="P135" s="124"/>
      <c r="Q135" s="280"/>
      <c r="R135" s="280"/>
      <c r="S135" s="279"/>
      <c r="T135" s="281"/>
      <c r="U135" s="279"/>
      <c r="V135" s="279"/>
      <c r="W135" s="279"/>
      <c r="X135" s="279"/>
      <c r="Y135" s="279"/>
      <c r="Z135" s="84"/>
      <c r="AA135" s="282"/>
      <c r="AB135" s="281"/>
      <c r="AC135" s="281"/>
      <c r="AD135" s="281"/>
      <c r="AE135" s="277"/>
    </row>
    <row r="136" spans="1:31" ht="48" customHeight="1">
      <c r="A136" s="188">
        <v>150</v>
      </c>
      <c r="B136" s="189">
        <v>200</v>
      </c>
      <c r="C136" s="198">
        <v>5</v>
      </c>
      <c r="D136" s="191">
        <f t="shared" si="73"/>
        <v>8300002.7550000008</v>
      </c>
      <c r="E136" s="192">
        <v>37.950000000000003</v>
      </c>
      <c r="F136" s="241">
        <v>218708.9</v>
      </c>
      <c r="G136" s="193">
        <f>$AF$51</f>
        <v>0.98</v>
      </c>
      <c r="H136" s="192">
        <f>$AG$51</f>
        <v>8100</v>
      </c>
      <c r="I136" s="192">
        <f>$AH$51</f>
        <v>135</v>
      </c>
      <c r="J136" s="192">
        <f t="shared" si="71"/>
        <v>1139.1978641851852</v>
      </c>
      <c r="K136" s="109"/>
      <c r="L136" s="103">
        <f t="shared" si="72"/>
        <v>30.018389043087879</v>
      </c>
      <c r="M136" s="91">
        <f t="shared" si="66"/>
        <v>279716.80699240981</v>
      </c>
      <c r="N136" s="92">
        <f t="shared" si="67"/>
        <v>264678.26898206514</v>
      </c>
      <c r="O136" s="93">
        <f t="shared" si="74"/>
        <v>246150.79015332062</v>
      </c>
      <c r="P136" s="124"/>
      <c r="Q136" s="280"/>
      <c r="R136" s="280"/>
      <c r="S136" s="280"/>
      <c r="T136" s="281"/>
      <c r="U136" s="280"/>
      <c r="V136" s="280"/>
      <c r="W136" s="280"/>
      <c r="X136" s="280"/>
      <c r="Y136" s="280"/>
      <c r="Z136" s="84"/>
      <c r="AA136" s="282"/>
      <c r="AB136" s="281"/>
      <c r="AC136" s="281"/>
      <c r="AD136" s="281"/>
      <c r="AE136" s="277"/>
    </row>
    <row r="137" spans="1:31" ht="48" customHeight="1">
      <c r="A137" s="188">
        <v>170</v>
      </c>
      <c r="B137" s="189">
        <v>170</v>
      </c>
      <c r="C137" s="198">
        <v>5</v>
      </c>
      <c r="D137" s="191">
        <f t="shared" si="73"/>
        <v>8300000.0160000008</v>
      </c>
      <c r="E137" s="192">
        <v>39.06</v>
      </c>
      <c r="F137" s="241">
        <v>212493.6</v>
      </c>
      <c r="G137" s="193">
        <f>$AF$51</f>
        <v>0.98</v>
      </c>
      <c r="H137" s="192">
        <f>$AG$51</f>
        <v>8100</v>
      </c>
      <c r="I137" s="192">
        <f>$AH$51</f>
        <v>135</v>
      </c>
      <c r="J137" s="192">
        <f>D137*G137/H137+I137</f>
        <v>1139.1975327999999</v>
      </c>
      <c r="K137" s="109"/>
      <c r="L137" s="103">
        <f>J137/E137</f>
        <v>29.1653234203789</v>
      </c>
      <c r="M137" s="91">
        <f>O137/0.88</f>
        <v>271767.78641716705</v>
      </c>
      <c r="N137" s="92">
        <f>O137/0.93</f>
        <v>257156.61510441612</v>
      </c>
      <c r="O137" s="93">
        <f>L137*$AG$17</f>
        <v>239155.652047107</v>
      </c>
      <c r="P137" s="124"/>
      <c r="Q137" s="280"/>
      <c r="R137" s="280"/>
      <c r="S137" s="280"/>
      <c r="T137" s="281"/>
      <c r="U137" s="280"/>
      <c r="V137" s="280"/>
      <c r="W137" s="280"/>
      <c r="X137" s="280"/>
      <c r="Y137" s="280"/>
      <c r="Z137" s="84"/>
      <c r="AA137" s="282"/>
      <c r="AB137" s="281"/>
      <c r="AC137" s="281"/>
      <c r="AD137" s="281"/>
      <c r="AE137" s="277"/>
    </row>
    <row r="138" spans="1:31" ht="48" customHeight="1">
      <c r="A138" s="188">
        <v>170</v>
      </c>
      <c r="B138" s="189">
        <v>170</v>
      </c>
      <c r="C138" s="198">
        <v>6</v>
      </c>
      <c r="D138" s="191">
        <f t="shared" si="73"/>
        <v>8300000.3280000007</v>
      </c>
      <c r="E138" s="192">
        <v>32.880000000000003</v>
      </c>
      <c r="F138" s="241">
        <v>252433.1</v>
      </c>
      <c r="G138" s="193">
        <f>$AF$51</f>
        <v>0.98</v>
      </c>
      <c r="H138" s="192">
        <f>$AG$51</f>
        <v>8100</v>
      </c>
      <c r="I138" s="192">
        <f>$AH$51</f>
        <v>135</v>
      </c>
      <c r="J138" s="192">
        <f>D138*G138/H138+I138</f>
        <v>1139.1975705481482</v>
      </c>
      <c r="K138" s="109"/>
      <c r="L138" s="103">
        <f>J138/E138</f>
        <v>34.647128058033701</v>
      </c>
      <c r="M138" s="91">
        <f>O138/0.88</f>
        <v>322848.23872258677</v>
      </c>
      <c r="N138" s="92">
        <f>O138/0.93</f>
        <v>305490.80653320038</v>
      </c>
      <c r="O138" s="93">
        <f>L138*$AG$17</f>
        <v>284106.45007587638</v>
      </c>
      <c r="P138" s="124"/>
      <c r="Q138" s="280"/>
      <c r="R138" s="280"/>
      <c r="S138" s="280"/>
      <c r="T138" s="281"/>
      <c r="U138" s="280"/>
      <c r="V138" s="280"/>
      <c r="W138" s="280"/>
      <c r="X138" s="280"/>
      <c r="Y138" s="280"/>
      <c r="Z138" s="84"/>
      <c r="AA138" s="282"/>
      <c r="AB138" s="281"/>
      <c r="AC138" s="281"/>
      <c r="AD138" s="281"/>
      <c r="AE138" s="277"/>
    </row>
    <row r="139" spans="1:31" ht="23.25" customHeight="1" thickBot="1">
      <c r="A139" s="199">
        <v>170</v>
      </c>
      <c r="B139" s="200">
        <v>170</v>
      </c>
      <c r="C139" s="201">
        <v>7</v>
      </c>
      <c r="D139" s="191">
        <v>8600000</v>
      </c>
      <c r="E139" s="192">
        <v>28.43</v>
      </c>
      <c r="F139" s="241">
        <v>291945.2</v>
      </c>
      <c r="G139" s="202">
        <f>$AF$51</f>
        <v>0.98</v>
      </c>
      <c r="H139" s="203">
        <f>$AG$51</f>
        <v>8100</v>
      </c>
      <c r="I139" s="192">
        <f>AH51</f>
        <v>135</v>
      </c>
      <c r="J139" s="203">
        <f>D139*G139/H139+I139</f>
        <v>1175.4938271604938</v>
      </c>
      <c r="K139" s="204"/>
      <c r="L139" s="246">
        <f>J139/E139</f>
        <v>41.346951359848532</v>
      </c>
      <c r="M139" s="91">
        <f>O139/0.88</f>
        <v>385278.41039858857</v>
      </c>
      <c r="N139" s="92">
        <f>O139/0.93</f>
        <v>364564.51736640639</v>
      </c>
      <c r="O139" s="93">
        <f>L139*$AG$17</f>
        <v>339045.00115075795</v>
      </c>
      <c r="P139" s="124"/>
      <c r="Q139" s="280"/>
      <c r="R139" s="280"/>
      <c r="S139" s="280"/>
      <c r="T139" s="281"/>
      <c r="U139" s="280"/>
      <c r="V139" s="280"/>
      <c r="W139" s="280"/>
      <c r="X139" s="280"/>
      <c r="Y139" s="280"/>
      <c r="Z139" s="84"/>
      <c r="AA139" s="282"/>
      <c r="AB139" s="281"/>
      <c r="AC139" s="281"/>
      <c r="AD139" s="281"/>
      <c r="AE139" s="277"/>
    </row>
    <row r="140" spans="1:31" ht="20.25" customHeight="1" thickBot="1">
      <c r="A140" s="414" t="s">
        <v>122</v>
      </c>
      <c r="B140" s="415"/>
      <c r="C140" s="415"/>
      <c r="D140" s="415"/>
      <c r="E140" s="416"/>
      <c r="F140" s="245"/>
      <c r="G140" s="205"/>
      <c r="H140" s="205"/>
      <c r="I140" s="205"/>
      <c r="J140" s="109"/>
      <c r="K140" s="205"/>
      <c r="L140" s="247">
        <v>49</v>
      </c>
      <c r="M140" s="91">
        <f>O140/0.88</f>
        <v>456590.90909090912</v>
      </c>
      <c r="N140" s="92">
        <f>O140/0.93</f>
        <v>432043.01075268816</v>
      </c>
      <c r="O140" s="93">
        <f>L140*AG17</f>
        <v>401800</v>
      </c>
      <c r="P140" s="124"/>
      <c r="Q140" s="280"/>
      <c r="R140" s="280"/>
      <c r="S140" s="280"/>
      <c r="T140" s="281"/>
      <c r="U140" s="280"/>
      <c r="V140" s="280"/>
      <c r="W140" s="280"/>
      <c r="X140" s="280"/>
      <c r="Y140" s="280"/>
      <c r="Z140" s="84"/>
      <c r="AA140" s="282"/>
      <c r="AB140" s="281"/>
      <c r="AC140" s="281"/>
      <c r="AD140" s="281"/>
      <c r="AE140" s="277"/>
    </row>
    <row r="141" spans="1:31" ht="26.25" customHeight="1" thickBot="1">
      <c r="A141" s="271" t="s">
        <v>58</v>
      </c>
      <c r="P141" s="124"/>
      <c r="Q141" s="280"/>
      <c r="R141" s="280"/>
      <c r="S141" s="280"/>
      <c r="T141" s="281"/>
      <c r="U141" s="280"/>
      <c r="V141" s="280"/>
      <c r="W141" s="280"/>
      <c r="X141" s="280"/>
      <c r="Y141" s="280"/>
      <c r="Z141" s="84"/>
      <c r="AA141" s="282"/>
      <c r="AB141" s="281"/>
      <c r="AC141" s="281"/>
      <c r="AD141" s="281"/>
      <c r="AE141" s="277"/>
    </row>
    <row r="142" spans="1:31" ht="26.25" customHeight="1">
      <c r="B142" s="272"/>
      <c r="C142" s="272"/>
      <c r="D142" s="272"/>
      <c r="E142" s="272"/>
      <c r="F142" s="272"/>
      <c r="G142" s="272"/>
      <c r="H142" s="272"/>
      <c r="I142" s="272"/>
      <c r="J142" s="272"/>
      <c r="K142" s="272"/>
      <c r="L142" s="272"/>
      <c r="M142" s="273"/>
      <c r="N142" s="6" t="s">
        <v>36</v>
      </c>
      <c r="O142" s="236" t="s">
        <v>16</v>
      </c>
      <c r="P142" s="124"/>
      <c r="Q142" s="280"/>
      <c r="R142" s="280"/>
      <c r="S142" s="280"/>
      <c r="T142" s="281"/>
      <c r="U142" s="280"/>
      <c r="V142" s="280"/>
      <c r="W142" s="280"/>
      <c r="X142" s="280"/>
      <c r="Y142" s="280"/>
      <c r="Z142" s="84"/>
      <c r="AA142" s="282"/>
      <c r="AB142" s="281"/>
      <c r="AC142" s="281"/>
      <c r="AD142" s="281" t="s">
        <v>116</v>
      </c>
      <c r="AE142" s="277"/>
    </row>
    <row r="143" spans="1:31" ht="41.25" customHeight="1" thickBot="1">
      <c r="A143" s="28">
        <v>15</v>
      </c>
      <c r="B143" s="29">
        <v>15</v>
      </c>
      <c r="C143" s="29" t="s">
        <v>5</v>
      </c>
      <c r="D143" s="2">
        <v>9800000</v>
      </c>
      <c r="E143" s="1">
        <v>2000</v>
      </c>
      <c r="F143" s="1">
        <f>D143/E143</f>
        <v>4900</v>
      </c>
      <c r="G143" s="5">
        <f t="shared" ref="G143:G168" si="75">$AF$70</f>
        <v>0.92</v>
      </c>
      <c r="H143" s="1">
        <f t="shared" ref="H143:H152" si="76">$AG$70</f>
        <v>8100</v>
      </c>
      <c r="I143" s="1">
        <f t="shared" ref="I143:I152" si="77">$AH$70</f>
        <v>50</v>
      </c>
      <c r="J143" s="1">
        <f>D143*G143/H143+I143</f>
        <v>1163.0864197530864</v>
      </c>
      <c r="K143" s="1"/>
      <c r="L143" s="237">
        <f>J143/E143</f>
        <v>0.58154320987654318</v>
      </c>
      <c r="M143" s="30">
        <f>O143/0.74</f>
        <v>6444.1274607941277</v>
      </c>
      <c r="N143" s="30">
        <f>O143/0.78</f>
        <v>6113.6593858816077</v>
      </c>
      <c r="O143" s="31">
        <f>L143*$AG$17</f>
        <v>4768.6543209876545</v>
      </c>
      <c r="P143" s="124"/>
      <c r="Q143" s="280"/>
      <c r="R143" s="280"/>
      <c r="S143" s="280"/>
      <c r="T143" s="281"/>
      <c r="U143" s="280"/>
      <c r="V143" s="280"/>
      <c r="W143" s="280"/>
      <c r="X143" s="280"/>
      <c r="Y143" s="280"/>
      <c r="Z143" s="84"/>
      <c r="AA143" s="282"/>
      <c r="AB143" s="281"/>
      <c r="AC143" s="281"/>
      <c r="AD143" s="281"/>
      <c r="AE143" s="277"/>
    </row>
    <row r="144" spans="1:31" ht="51" customHeight="1" thickBot="1">
      <c r="A144" s="28">
        <v>25</v>
      </c>
      <c r="B144" s="29">
        <v>25</v>
      </c>
      <c r="C144" s="29" t="s">
        <v>5</v>
      </c>
      <c r="D144" s="2">
        <v>9300000</v>
      </c>
      <c r="E144" s="1">
        <v>1136.3599999999999</v>
      </c>
      <c r="F144" s="1">
        <f t="shared" ref="F144:F149" si="78">D144/E144</f>
        <v>8184.0261888838049</v>
      </c>
      <c r="G144" s="5">
        <f t="shared" si="75"/>
        <v>0.92</v>
      </c>
      <c r="H144" s="1">
        <f t="shared" si="76"/>
        <v>8100</v>
      </c>
      <c r="I144" s="1">
        <f t="shared" si="77"/>
        <v>50</v>
      </c>
      <c r="J144" s="1">
        <f t="shared" ref="J144:J149" si="79">D144*G144/H144+I144</f>
        <v>1106.2962962962963</v>
      </c>
      <c r="K144" s="1"/>
      <c r="L144" s="237">
        <f t="shared" ref="L144:L149" si="80">J144/E144</f>
        <v>0.97354385608108029</v>
      </c>
      <c r="M144" s="30">
        <f t="shared" ref="M144:M149" si="81">O144/0.74</f>
        <v>10787.918405222781</v>
      </c>
      <c r="N144" s="30">
        <f t="shared" ref="N144:N149" si="82">O144/0.78</f>
        <v>10234.691820339562</v>
      </c>
      <c r="O144" s="31">
        <f t="shared" ref="O144:O149" si="83">L144*$AG$17</f>
        <v>7983.0596198648582</v>
      </c>
      <c r="P144" s="124"/>
      <c r="Q144" s="280"/>
      <c r="R144" s="280"/>
      <c r="S144" s="280"/>
      <c r="T144" s="281"/>
      <c r="U144" s="280"/>
      <c r="V144" s="280"/>
      <c r="W144" s="280"/>
      <c r="X144" s="280"/>
      <c r="Y144" s="280"/>
      <c r="Z144" s="84"/>
      <c r="AA144" s="282"/>
      <c r="AB144" s="281"/>
      <c r="AC144" s="281"/>
      <c r="AD144" s="281"/>
      <c r="AE144" s="277"/>
    </row>
    <row r="145" spans="1:32" ht="51" customHeight="1" thickBot="1">
      <c r="A145" s="28">
        <v>30</v>
      </c>
      <c r="B145" s="29">
        <v>20</v>
      </c>
      <c r="C145" s="29" t="s">
        <v>5</v>
      </c>
      <c r="D145" s="2">
        <v>8800000</v>
      </c>
      <c r="E145" s="1">
        <v>1136.3599999999999</v>
      </c>
      <c r="F145" s="1">
        <f t="shared" si="78"/>
        <v>7744.0247808792992</v>
      </c>
      <c r="G145" s="5">
        <f t="shared" si="75"/>
        <v>0.92</v>
      </c>
      <c r="H145" s="1">
        <f t="shared" si="76"/>
        <v>8100</v>
      </c>
      <c r="I145" s="1">
        <f t="shared" si="77"/>
        <v>50</v>
      </c>
      <c r="J145" s="1">
        <f t="shared" si="79"/>
        <v>1049.5061728395062</v>
      </c>
      <c r="K145" s="1"/>
      <c r="L145" s="237">
        <f>J145/E145</f>
        <v>0.92356838751760562</v>
      </c>
      <c r="M145" s="30">
        <f t="shared" si="81"/>
        <v>10234.136186005901</v>
      </c>
      <c r="N145" s="30">
        <f>O145/0.82</f>
        <v>9235.683875176057</v>
      </c>
      <c r="O145" s="31">
        <f t="shared" si="83"/>
        <v>7573.2607776443665</v>
      </c>
      <c r="P145" s="124"/>
      <c r="Q145" s="280"/>
      <c r="R145" s="280"/>
      <c r="S145" s="280"/>
      <c r="T145" s="281"/>
      <c r="U145" s="280"/>
      <c r="V145" s="280"/>
      <c r="W145" s="280"/>
      <c r="X145" s="280"/>
      <c r="Y145" s="280"/>
      <c r="Z145" s="84"/>
      <c r="AA145" s="282"/>
      <c r="AB145" s="281"/>
      <c r="AC145" s="281"/>
      <c r="AD145" s="281"/>
      <c r="AE145" s="277"/>
    </row>
    <row r="146" spans="1:32" ht="27.75" customHeight="1" thickBot="1">
      <c r="A146" s="28">
        <v>30</v>
      </c>
      <c r="B146" s="29">
        <v>20</v>
      </c>
      <c r="C146" s="29" t="s">
        <v>1</v>
      </c>
      <c r="D146" s="2">
        <v>8400000</v>
      </c>
      <c r="E146" s="1">
        <v>833</v>
      </c>
      <c r="F146" s="1">
        <f t="shared" si="78"/>
        <v>10084.033613445377</v>
      </c>
      <c r="G146" s="5">
        <f t="shared" si="75"/>
        <v>0.92</v>
      </c>
      <c r="H146" s="1">
        <f t="shared" si="76"/>
        <v>8100</v>
      </c>
      <c r="I146" s="1">
        <f t="shared" si="77"/>
        <v>50</v>
      </c>
      <c r="J146" s="1">
        <f t="shared" si="79"/>
        <v>1004.074074074074</v>
      </c>
      <c r="K146" s="1"/>
      <c r="L146" s="237">
        <f t="shared" si="80"/>
        <v>1.2053710373038105</v>
      </c>
      <c r="M146" s="30">
        <f t="shared" si="81"/>
        <v>13356.814197150332</v>
      </c>
      <c r="N146" s="30">
        <f t="shared" si="82"/>
        <v>12671.849366527238</v>
      </c>
      <c r="O146" s="31">
        <f t="shared" si="83"/>
        <v>9884.042505891246</v>
      </c>
      <c r="P146" s="124"/>
      <c r="Q146" s="280"/>
      <c r="R146" s="280"/>
      <c r="S146" s="280"/>
      <c r="T146" s="281"/>
      <c r="U146" s="280"/>
      <c r="V146" s="280"/>
      <c r="W146" s="280"/>
      <c r="X146" s="280"/>
      <c r="Y146" s="280"/>
      <c r="Z146" s="84"/>
      <c r="AA146" s="282"/>
      <c r="AB146" s="281"/>
      <c r="AC146" s="281"/>
      <c r="AD146" s="281"/>
      <c r="AE146" s="277"/>
    </row>
    <row r="147" spans="1:32" ht="27.75" customHeight="1" thickBot="1">
      <c r="A147" s="28">
        <v>30</v>
      </c>
      <c r="B147" s="29">
        <v>20</v>
      </c>
      <c r="C147" s="29" t="s">
        <v>3</v>
      </c>
      <c r="D147" s="2">
        <v>8350000</v>
      </c>
      <c r="E147" s="29">
        <v>719.4</v>
      </c>
      <c r="F147" s="1">
        <f t="shared" si="78"/>
        <v>11606.894634417571</v>
      </c>
      <c r="G147" s="5">
        <f t="shared" si="75"/>
        <v>0.92</v>
      </c>
      <c r="H147" s="1">
        <f t="shared" si="76"/>
        <v>8100</v>
      </c>
      <c r="I147" s="1">
        <f t="shared" si="77"/>
        <v>50</v>
      </c>
      <c r="J147" s="1">
        <f t="shared" si="79"/>
        <v>998.39506172839504</v>
      </c>
      <c r="K147" s="1"/>
      <c r="L147" s="237">
        <f t="shared" si="80"/>
        <v>1.3878163215574022</v>
      </c>
      <c r="M147" s="30">
        <f t="shared" si="81"/>
        <v>15378.505184825268</v>
      </c>
      <c r="N147" s="30">
        <f t="shared" si="82"/>
        <v>14589.863893295767</v>
      </c>
      <c r="O147" s="31">
        <f t="shared" si="83"/>
        <v>11380.093836770699</v>
      </c>
      <c r="P147" s="124"/>
      <c r="Q147" s="280"/>
      <c r="R147" s="75"/>
      <c r="S147" s="20"/>
      <c r="T147" s="281"/>
      <c r="U147" s="20"/>
      <c r="V147" s="20"/>
      <c r="W147" s="20"/>
      <c r="X147" s="20"/>
      <c r="Y147" s="20"/>
      <c r="Z147" s="20"/>
      <c r="AA147" s="282"/>
      <c r="AB147" s="281"/>
      <c r="AC147" s="281"/>
      <c r="AD147" s="281"/>
      <c r="AE147" s="277"/>
    </row>
    <row r="148" spans="1:32" ht="26.25" customHeight="1" thickBot="1">
      <c r="A148" s="28">
        <v>30</v>
      </c>
      <c r="B148" s="29">
        <v>30</v>
      </c>
      <c r="C148" s="29" t="s">
        <v>5</v>
      </c>
      <c r="D148" s="2">
        <v>8350000</v>
      </c>
      <c r="E148" s="1">
        <v>934.6</v>
      </c>
      <c r="F148" s="1">
        <f t="shared" si="78"/>
        <v>8934.3034453242035</v>
      </c>
      <c r="G148" s="5">
        <f t="shared" si="75"/>
        <v>0.92</v>
      </c>
      <c r="H148" s="1">
        <f t="shared" si="76"/>
        <v>8100</v>
      </c>
      <c r="I148" s="1">
        <f t="shared" si="77"/>
        <v>50</v>
      </c>
      <c r="J148" s="1">
        <f t="shared" si="79"/>
        <v>998.39506172839504</v>
      </c>
      <c r="K148" s="1"/>
      <c r="L148" s="237">
        <f t="shared" si="80"/>
        <v>1.0682592143466669</v>
      </c>
      <c r="M148" s="30">
        <f t="shared" si="81"/>
        <v>11837.466969787391</v>
      </c>
      <c r="N148" s="30">
        <f t="shared" si="82"/>
        <v>11230.417381593164</v>
      </c>
      <c r="O148" s="31">
        <f t="shared" si="83"/>
        <v>8759.7255576426687</v>
      </c>
      <c r="P148" s="124"/>
      <c r="Q148" s="280"/>
      <c r="R148" s="75"/>
      <c r="S148" s="20"/>
      <c r="T148" s="281"/>
      <c r="U148" s="20"/>
      <c r="V148" s="20"/>
      <c r="W148" s="20"/>
      <c r="X148" s="20"/>
      <c r="Y148" s="20"/>
      <c r="Z148" s="20"/>
      <c r="AA148" s="282"/>
      <c r="AB148" s="281"/>
      <c r="AC148" s="281"/>
      <c r="AD148" s="281"/>
      <c r="AE148" s="277"/>
      <c r="AF148" s="72"/>
    </row>
    <row r="149" spans="1:32" ht="21" thickBot="1">
      <c r="A149" s="28">
        <v>30</v>
      </c>
      <c r="B149" s="29">
        <v>30</v>
      </c>
      <c r="C149" s="29" t="s">
        <v>1</v>
      </c>
      <c r="D149" s="2">
        <v>8350000</v>
      </c>
      <c r="E149" s="1">
        <v>680.3</v>
      </c>
      <c r="F149" s="1">
        <f t="shared" si="78"/>
        <v>12273.99676613259</v>
      </c>
      <c r="G149" s="5">
        <f t="shared" si="75"/>
        <v>0.92</v>
      </c>
      <c r="H149" s="1">
        <f t="shared" si="76"/>
        <v>8100</v>
      </c>
      <c r="I149" s="1">
        <f t="shared" si="77"/>
        <v>50</v>
      </c>
      <c r="J149" s="1">
        <f t="shared" si="79"/>
        <v>998.39506172839504</v>
      </c>
      <c r="K149" s="1"/>
      <c r="L149" s="237">
        <f t="shared" si="80"/>
        <v>1.4675805699373734</v>
      </c>
      <c r="M149" s="30">
        <f t="shared" si="81"/>
        <v>16262.379288495218</v>
      </c>
      <c r="N149" s="30">
        <f t="shared" si="82"/>
        <v>15428.411119854438</v>
      </c>
      <c r="O149" s="31">
        <f t="shared" si="83"/>
        <v>12034.160673486462</v>
      </c>
      <c r="P149" s="124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9"/>
    </row>
    <row r="150" spans="1:32" ht="21" thickBot="1">
      <c r="A150" s="60">
        <v>30</v>
      </c>
      <c r="B150" s="1">
        <v>60</v>
      </c>
      <c r="C150" s="1" t="s">
        <v>46</v>
      </c>
      <c r="D150" s="2">
        <v>8350000</v>
      </c>
      <c r="E150" s="1">
        <v>495.05</v>
      </c>
      <c r="F150" s="1">
        <f t="shared" ref="F150:F172" si="84">D150/E150</f>
        <v>16866.983133016867</v>
      </c>
      <c r="G150" s="5">
        <f t="shared" si="75"/>
        <v>0.92</v>
      </c>
      <c r="H150" s="1">
        <f t="shared" si="76"/>
        <v>8100</v>
      </c>
      <c r="I150" s="1">
        <f t="shared" si="77"/>
        <v>50</v>
      </c>
      <c r="J150" s="1">
        <f t="shared" ref="J150:J172" si="85">D150*G150/H150+I150</f>
        <v>998.39506172839504</v>
      </c>
      <c r="K150" s="1"/>
      <c r="L150" s="237">
        <f t="shared" ref="L150:L161" si="86">J150/E150</f>
        <v>2.0167560079353501</v>
      </c>
      <c r="M150" s="30">
        <f t="shared" ref="M150:M172" si="87">O150/0.74</f>
        <v>22347.836844689016</v>
      </c>
      <c r="N150" s="30">
        <f t="shared" ref="N150:N172" si="88">O150/0.78</f>
        <v>21201.793929576757</v>
      </c>
      <c r="O150" s="31">
        <f t="shared" ref="O150:O171" si="89">L150*$AG$17</f>
        <v>16537.399265069871</v>
      </c>
      <c r="P150" s="12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277"/>
    </row>
    <row r="151" spans="1:32" ht="18.75" customHeight="1" thickBot="1">
      <c r="A151" s="28">
        <v>30</v>
      </c>
      <c r="B151" s="29">
        <v>60</v>
      </c>
      <c r="C151" s="29" t="s">
        <v>1</v>
      </c>
      <c r="D151" s="2">
        <v>8350000</v>
      </c>
      <c r="E151" s="1">
        <v>440.53</v>
      </c>
      <c r="F151" s="1">
        <f t="shared" si="84"/>
        <v>18954.441241232154</v>
      </c>
      <c r="G151" s="5">
        <f t="shared" si="75"/>
        <v>0.92</v>
      </c>
      <c r="H151" s="1">
        <f t="shared" si="76"/>
        <v>8100</v>
      </c>
      <c r="I151" s="1">
        <f t="shared" si="77"/>
        <v>50</v>
      </c>
      <c r="J151" s="1">
        <f t="shared" si="85"/>
        <v>998.39506172839504</v>
      </c>
      <c r="K151" s="1"/>
      <c r="L151" s="237">
        <f t="shared" si="86"/>
        <v>2.266349764439187</v>
      </c>
      <c r="M151" s="30">
        <f t="shared" si="87"/>
        <v>25113.605497839642</v>
      </c>
      <c r="N151" s="30">
        <f t="shared" si="88"/>
        <v>23825.728292822223</v>
      </c>
      <c r="O151" s="31">
        <f t="shared" si="89"/>
        <v>18584.068068401335</v>
      </c>
      <c r="P151" s="124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243"/>
      <c r="AB151" s="9"/>
      <c r="AC151" s="9"/>
      <c r="AD151" s="9" t="s">
        <v>58</v>
      </c>
      <c r="AE151" s="277"/>
    </row>
    <row r="152" spans="1:32" ht="24.75" customHeight="1" thickBot="1">
      <c r="A152" s="28">
        <v>30</v>
      </c>
      <c r="B152" s="29">
        <v>60</v>
      </c>
      <c r="C152" s="29" t="s">
        <v>3</v>
      </c>
      <c r="D152" s="2">
        <v>8350000</v>
      </c>
      <c r="E152" s="1">
        <v>377.36</v>
      </c>
      <c r="F152" s="1">
        <f t="shared" si="84"/>
        <v>22127.411490354039</v>
      </c>
      <c r="G152" s="5">
        <f t="shared" si="75"/>
        <v>0.92</v>
      </c>
      <c r="H152" s="1">
        <f t="shared" si="76"/>
        <v>8100</v>
      </c>
      <c r="I152" s="1">
        <f t="shared" si="77"/>
        <v>50</v>
      </c>
      <c r="J152" s="1">
        <f t="shared" si="85"/>
        <v>998.39506172839504</v>
      </c>
      <c r="K152" s="1"/>
      <c r="L152" s="237">
        <f t="shared" si="86"/>
        <v>2.6457363306349242</v>
      </c>
      <c r="M152" s="30">
        <f t="shared" si="87"/>
        <v>29317.618798927539</v>
      </c>
      <c r="N152" s="30">
        <f t="shared" si="88"/>
        <v>27814.151168213306</v>
      </c>
      <c r="O152" s="31">
        <f t="shared" si="89"/>
        <v>21695.037911206378</v>
      </c>
      <c r="P152" s="124"/>
      <c r="AE152" s="277"/>
    </row>
    <row r="153" spans="1:32" ht="21" thickBot="1">
      <c r="A153" s="60">
        <v>35</v>
      </c>
      <c r="B153" s="1">
        <v>55</v>
      </c>
      <c r="C153" s="1" t="s">
        <v>1</v>
      </c>
      <c r="D153" s="2">
        <v>8350000</v>
      </c>
      <c r="E153" s="1">
        <v>440.53</v>
      </c>
      <c r="F153" s="1">
        <f t="shared" si="84"/>
        <v>18954.441241232154</v>
      </c>
      <c r="G153" s="5">
        <f t="shared" si="75"/>
        <v>0.92</v>
      </c>
      <c r="H153" s="1">
        <v>8100</v>
      </c>
      <c r="I153" s="1">
        <v>50</v>
      </c>
      <c r="J153" s="1">
        <f t="shared" si="85"/>
        <v>998.39506172839504</v>
      </c>
      <c r="K153" s="1"/>
      <c r="L153" s="237">
        <f t="shared" si="86"/>
        <v>2.266349764439187</v>
      </c>
      <c r="M153" s="30">
        <f t="shared" si="87"/>
        <v>25113.605497839642</v>
      </c>
      <c r="N153" s="30">
        <f t="shared" si="88"/>
        <v>23825.728292822223</v>
      </c>
      <c r="O153" s="31">
        <f t="shared" si="89"/>
        <v>18584.068068401335</v>
      </c>
      <c r="P153" s="12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277"/>
    </row>
    <row r="154" spans="1:32" ht="23.25" customHeight="1" thickBot="1">
      <c r="A154" s="1">
        <v>40</v>
      </c>
      <c r="B154" s="1">
        <v>20</v>
      </c>
      <c r="C154" s="63" t="s">
        <v>1</v>
      </c>
      <c r="D154" s="2">
        <v>8350000</v>
      </c>
      <c r="E154" s="1">
        <v>680.27</v>
      </c>
      <c r="F154" s="1">
        <f t="shared" si="84"/>
        <v>12274.538051067959</v>
      </c>
      <c r="G154" s="5">
        <f t="shared" si="75"/>
        <v>0.92</v>
      </c>
      <c r="H154" s="1">
        <f t="shared" ref="H154:H168" si="90">$AG$70</f>
        <v>8100</v>
      </c>
      <c r="I154" s="1">
        <f t="shared" ref="I154:I164" si="91">$AH$70</f>
        <v>50</v>
      </c>
      <c r="J154" s="1">
        <f t="shared" si="85"/>
        <v>998.39506172839504</v>
      </c>
      <c r="K154" s="1"/>
      <c r="L154" s="237">
        <f t="shared" si="86"/>
        <v>1.467645290441141</v>
      </c>
      <c r="M154" s="30">
        <f t="shared" si="87"/>
        <v>16263.096461645076</v>
      </c>
      <c r="N154" s="30">
        <f t="shared" si="88"/>
        <v>15429.091514894046</v>
      </c>
      <c r="O154" s="31">
        <f t="shared" si="89"/>
        <v>12034.691381617356</v>
      </c>
      <c r="P154" s="12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72"/>
    </row>
    <row r="155" spans="1:32" ht="21" thickBot="1">
      <c r="A155" s="64">
        <v>40</v>
      </c>
      <c r="B155" s="65">
        <v>25</v>
      </c>
      <c r="C155" s="29" t="s">
        <v>5</v>
      </c>
      <c r="D155" s="2">
        <v>8350000</v>
      </c>
      <c r="E155" s="1">
        <v>862</v>
      </c>
      <c r="F155" s="1">
        <f t="shared" si="84"/>
        <v>9686.7749419953598</v>
      </c>
      <c r="G155" s="5">
        <f t="shared" si="75"/>
        <v>0.92</v>
      </c>
      <c r="H155" s="1">
        <f t="shared" si="90"/>
        <v>8100</v>
      </c>
      <c r="I155" s="1">
        <f t="shared" si="91"/>
        <v>50</v>
      </c>
      <c r="J155" s="1">
        <f t="shared" si="85"/>
        <v>998.39506172839504</v>
      </c>
      <c r="K155" s="1"/>
      <c r="L155" s="237">
        <f t="shared" si="86"/>
        <v>1.1582309300793445</v>
      </c>
      <c r="M155" s="30">
        <f t="shared" si="87"/>
        <v>12834.450846825168</v>
      </c>
      <c r="N155" s="30">
        <f t="shared" si="88"/>
        <v>12176.273880321314</v>
      </c>
      <c r="O155" s="31">
        <f t="shared" si="89"/>
        <v>9497.4936266506247</v>
      </c>
      <c r="P155" s="124"/>
    </row>
    <row r="156" spans="1:32" ht="24.75" customHeight="1" thickBot="1">
      <c r="A156" s="28">
        <v>40</v>
      </c>
      <c r="B156" s="29">
        <v>25</v>
      </c>
      <c r="C156" s="29" t="s">
        <v>1</v>
      </c>
      <c r="D156" s="2">
        <v>8350000</v>
      </c>
      <c r="E156" s="1">
        <v>621.1</v>
      </c>
      <c r="F156" s="1">
        <f t="shared" si="84"/>
        <v>13443.88987280631</v>
      </c>
      <c r="G156" s="5">
        <f t="shared" si="75"/>
        <v>0.92</v>
      </c>
      <c r="H156" s="1">
        <f t="shared" si="90"/>
        <v>8100</v>
      </c>
      <c r="I156" s="1">
        <f t="shared" si="91"/>
        <v>50</v>
      </c>
      <c r="J156" s="1">
        <f t="shared" si="85"/>
        <v>998.39506172839504</v>
      </c>
      <c r="K156" s="1"/>
      <c r="L156" s="237">
        <f t="shared" si="86"/>
        <v>1.6074626658000242</v>
      </c>
      <c r="M156" s="30">
        <f t="shared" si="87"/>
        <v>17812.424134540808</v>
      </c>
      <c r="N156" s="30">
        <f t="shared" si="88"/>
        <v>16898.966486615638</v>
      </c>
      <c r="O156" s="31">
        <f t="shared" si="89"/>
        <v>13181.193859560199</v>
      </c>
      <c r="P156" s="124"/>
      <c r="AE156" s="72"/>
    </row>
    <row r="157" spans="1:32" ht="24.75" customHeight="1" thickBot="1">
      <c r="A157" s="28">
        <v>40</v>
      </c>
      <c r="B157" s="29">
        <v>40</v>
      </c>
      <c r="C157" s="29" t="s">
        <v>1</v>
      </c>
      <c r="D157" s="2">
        <v>8350000</v>
      </c>
      <c r="E157" s="1">
        <v>497.51</v>
      </c>
      <c r="F157" s="1">
        <f t="shared" si="84"/>
        <v>16783.582239552976</v>
      </c>
      <c r="G157" s="5">
        <f t="shared" si="75"/>
        <v>0.92</v>
      </c>
      <c r="H157" s="1">
        <f t="shared" si="90"/>
        <v>8100</v>
      </c>
      <c r="I157" s="1">
        <f t="shared" si="91"/>
        <v>50</v>
      </c>
      <c r="J157" s="1">
        <f t="shared" si="85"/>
        <v>998.39506172839504</v>
      </c>
      <c r="K157" s="1"/>
      <c r="L157" s="237">
        <f t="shared" si="86"/>
        <v>2.0067839073152198</v>
      </c>
      <c r="M157" s="30">
        <f t="shared" si="87"/>
        <v>22237.335189168654</v>
      </c>
      <c r="N157" s="30">
        <f t="shared" si="88"/>
        <v>21096.959025621542</v>
      </c>
      <c r="O157" s="31">
        <f t="shared" si="89"/>
        <v>16455.628039984804</v>
      </c>
      <c r="P157" s="26"/>
      <c r="AE157" s="72"/>
    </row>
    <row r="158" spans="1:32" ht="41.25" customHeight="1" thickBot="1">
      <c r="A158" s="28">
        <v>40</v>
      </c>
      <c r="B158" s="29">
        <v>60</v>
      </c>
      <c r="C158" s="29" t="s">
        <v>46</v>
      </c>
      <c r="D158" s="2">
        <v>8350000</v>
      </c>
      <c r="E158" s="1">
        <v>444.44</v>
      </c>
      <c r="F158" s="1">
        <f t="shared" si="84"/>
        <v>18787.687876878768</v>
      </c>
      <c r="G158" s="5">
        <f t="shared" si="75"/>
        <v>0.92</v>
      </c>
      <c r="H158" s="1">
        <f t="shared" si="90"/>
        <v>8100</v>
      </c>
      <c r="I158" s="1">
        <f t="shared" si="91"/>
        <v>50</v>
      </c>
      <c r="J158" s="1">
        <f t="shared" si="85"/>
        <v>998.39506172839504</v>
      </c>
      <c r="K158" s="1"/>
      <c r="L158" s="237">
        <f t="shared" si="86"/>
        <v>2.246411353002419</v>
      </c>
      <c r="M158" s="30">
        <f t="shared" si="87"/>
        <v>24892.666344080859</v>
      </c>
      <c r="N158" s="30">
        <f t="shared" si="88"/>
        <v>23616.119352076712</v>
      </c>
      <c r="O158" s="31">
        <f t="shared" si="89"/>
        <v>18420.573094619835</v>
      </c>
      <c r="P158" s="26"/>
      <c r="AE158" s="72"/>
    </row>
    <row r="159" spans="1:32" ht="24.75" customHeight="1" thickBot="1">
      <c r="A159" s="28">
        <v>40</v>
      </c>
      <c r="B159" s="29">
        <v>60</v>
      </c>
      <c r="C159" s="29" t="s">
        <v>1</v>
      </c>
      <c r="D159" s="2">
        <v>8350000</v>
      </c>
      <c r="E159" s="1">
        <v>393.7</v>
      </c>
      <c r="F159" s="1">
        <f t="shared" si="84"/>
        <v>21209.042418084839</v>
      </c>
      <c r="G159" s="5">
        <f t="shared" si="75"/>
        <v>0.92</v>
      </c>
      <c r="H159" s="1">
        <f t="shared" si="90"/>
        <v>8100</v>
      </c>
      <c r="I159" s="1">
        <f t="shared" si="91"/>
        <v>50</v>
      </c>
      <c r="J159" s="1">
        <f t="shared" si="85"/>
        <v>998.39506172839504</v>
      </c>
      <c r="K159" s="1"/>
      <c r="L159" s="237">
        <f t="shared" si="86"/>
        <v>2.5359285286471809</v>
      </c>
      <c r="M159" s="30">
        <f t="shared" si="87"/>
        <v>28100.82964176606</v>
      </c>
      <c r="N159" s="30">
        <f t="shared" si="88"/>
        <v>26659.761455008826</v>
      </c>
      <c r="O159" s="31">
        <f t="shared" si="89"/>
        <v>20794.613934906884</v>
      </c>
      <c r="P159" s="26"/>
      <c r="AE159" s="72"/>
    </row>
    <row r="160" spans="1:32" ht="39.75" customHeight="1" thickBot="1">
      <c r="A160" s="28">
        <v>40</v>
      </c>
      <c r="B160" s="29">
        <v>60</v>
      </c>
      <c r="C160" s="29" t="s">
        <v>3</v>
      </c>
      <c r="D160" s="2">
        <v>8350000</v>
      </c>
      <c r="E160" s="1">
        <v>337.8</v>
      </c>
      <c r="F160" s="1">
        <f t="shared" si="84"/>
        <v>24718.768502072231</v>
      </c>
      <c r="G160" s="5">
        <f t="shared" si="75"/>
        <v>0.92</v>
      </c>
      <c r="H160" s="1">
        <f t="shared" si="90"/>
        <v>8100</v>
      </c>
      <c r="I160" s="1">
        <f t="shared" si="91"/>
        <v>50</v>
      </c>
      <c r="J160" s="1">
        <f t="shared" si="85"/>
        <v>998.39506172839504</v>
      </c>
      <c r="K160" s="1"/>
      <c r="L160" s="237">
        <f t="shared" si="86"/>
        <v>2.955580407721714</v>
      </c>
      <c r="M160" s="30">
        <f t="shared" si="87"/>
        <v>32751.026139618993</v>
      </c>
      <c r="N160" s="30">
        <f t="shared" si="88"/>
        <v>31071.486337587248</v>
      </c>
      <c r="O160" s="31">
        <f t="shared" si="89"/>
        <v>24235.759343318055</v>
      </c>
      <c r="P160" s="26"/>
      <c r="AE160" s="72"/>
    </row>
    <row r="161" spans="1:35" ht="39.75" customHeight="1" thickBot="1">
      <c r="A161" s="28">
        <v>40</v>
      </c>
      <c r="B161" s="29">
        <v>80</v>
      </c>
      <c r="C161" s="29" t="s">
        <v>1</v>
      </c>
      <c r="D161" s="2">
        <v>8350000</v>
      </c>
      <c r="E161" s="1">
        <v>325.73</v>
      </c>
      <c r="F161" s="1">
        <f t="shared" si="84"/>
        <v>25634.728149080525</v>
      </c>
      <c r="G161" s="5">
        <f t="shared" si="75"/>
        <v>0.92</v>
      </c>
      <c r="H161" s="1">
        <f t="shared" si="90"/>
        <v>8100</v>
      </c>
      <c r="I161" s="1">
        <f t="shared" si="91"/>
        <v>50</v>
      </c>
      <c r="J161" s="1">
        <f t="shared" si="85"/>
        <v>998.39506172839504</v>
      </c>
      <c r="K161" s="1"/>
      <c r="L161" s="237">
        <f t="shared" si="86"/>
        <v>3.0651001188972309</v>
      </c>
      <c r="M161" s="30">
        <f t="shared" si="87"/>
        <v>33964.622939131477</v>
      </c>
      <c r="N161" s="30">
        <f t="shared" si="88"/>
        <v>32222.847403791398</v>
      </c>
      <c r="O161" s="31">
        <f t="shared" si="89"/>
        <v>25133.820974957292</v>
      </c>
      <c r="P161" s="26"/>
      <c r="AE161" s="72"/>
    </row>
    <row r="162" spans="1:35" ht="39.75" customHeight="1" thickBot="1">
      <c r="A162" s="28">
        <v>40</v>
      </c>
      <c r="B162" s="29">
        <v>80</v>
      </c>
      <c r="C162" s="29" t="s">
        <v>3</v>
      </c>
      <c r="D162" s="2">
        <v>8350000</v>
      </c>
      <c r="E162" s="1">
        <v>279</v>
      </c>
      <c r="F162" s="1">
        <f t="shared" si="84"/>
        <v>29928.315412186381</v>
      </c>
      <c r="G162" s="5">
        <f t="shared" si="75"/>
        <v>0.92</v>
      </c>
      <c r="H162" s="1">
        <f t="shared" si="90"/>
        <v>8100</v>
      </c>
      <c r="I162" s="1">
        <f t="shared" si="91"/>
        <v>50</v>
      </c>
      <c r="J162" s="1">
        <f t="shared" si="85"/>
        <v>998.39506172839504</v>
      </c>
      <c r="K162" s="1"/>
      <c r="L162" s="237">
        <f>J162/E162</f>
        <v>3.5784769237576883</v>
      </c>
      <c r="M162" s="30">
        <f t="shared" si="87"/>
        <v>39653.392938936544</v>
      </c>
      <c r="N162" s="30">
        <f t="shared" si="88"/>
        <v>37619.885608734672</v>
      </c>
      <c r="O162" s="31">
        <f t="shared" si="89"/>
        <v>29343.510774813043</v>
      </c>
      <c r="P162" s="26"/>
      <c r="AE162" s="72"/>
    </row>
    <row r="163" spans="1:35" ht="24.75" customHeight="1" thickBot="1">
      <c r="A163" s="28">
        <v>50</v>
      </c>
      <c r="B163" s="29">
        <v>25</v>
      </c>
      <c r="C163" s="29" t="s">
        <v>5</v>
      </c>
      <c r="D163" s="2">
        <v>8350000</v>
      </c>
      <c r="E163" s="1">
        <v>740.7</v>
      </c>
      <c r="F163" s="1">
        <f t="shared" si="84"/>
        <v>11273.120021601188</v>
      </c>
      <c r="G163" s="5">
        <f t="shared" si="75"/>
        <v>0.92</v>
      </c>
      <c r="H163" s="1">
        <f t="shared" si="90"/>
        <v>8100</v>
      </c>
      <c r="I163" s="1">
        <f t="shared" si="91"/>
        <v>50</v>
      </c>
      <c r="J163" s="1">
        <f t="shared" si="85"/>
        <v>998.39506172839504</v>
      </c>
      <c r="K163" s="1"/>
      <c r="L163" s="237">
        <f t="shared" ref="L163:L172" si="92">J163/E163</f>
        <v>1.3479074682440866</v>
      </c>
      <c r="M163" s="30">
        <f t="shared" si="87"/>
        <v>14936.271945407447</v>
      </c>
      <c r="N163" s="30">
        <f t="shared" si="88"/>
        <v>14170.309281540398</v>
      </c>
      <c r="O163" s="31">
        <f t="shared" si="89"/>
        <v>11052.84123960151</v>
      </c>
      <c r="P163" s="26"/>
    </row>
    <row r="164" spans="1:35" ht="27.75" customHeight="1" thickBot="1">
      <c r="A164" s="28">
        <v>50</v>
      </c>
      <c r="B164" s="29">
        <v>25</v>
      </c>
      <c r="C164" s="29" t="s">
        <v>1</v>
      </c>
      <c r="D164" s="2">
        <v>8350000</v>
      </c>
      <c r="E164" s="1">
        <v>534.79999999999995</v>
      </c>
      <c r="F164" s="1">
        <f t="shared" si="84"/>
        <v>15613.3133881825</v>
      </c>
      <c r="G164" s="5">
        <f t="shared" si="75"/>
        <v>0.92</v>
      </c>
      <c r="H164" s="1">
        <f t="shared" si="90"/>
        <v>8100</v>
      </c>
      <c r="I164" s="1">
        <f t="shared" si="91"/>
        <v>50</v>
      </c>
      <c r="J164" s="1">
        <f t="shared" si="85"/>
        <v>998.39506172839504</v>
      </c>
      <c r="K164" s="1"/>
      <c r="L164" s="237">
        <f t="shared" si="92"/>
        <v>1.8668568843088913</v>
      </c>
      <c r="M164" s="30">
        <f t="shared" si="87"/>
        <v>20686.792501801228</v>
      </c>
      <c r="N164" s="30">
        <f t="shared" si="88"/>
        <v>19625.931347862701</v>
      </c>
      <c r="O164" s="31">
        <f t="shared" si="89"/>
        <v>15308.226451332908</v>
      </c>
      <c r="P164" s="26"/>
    </row>
    <row r="165" spans="1:35" ht="24.75" customHeight="1" thickBot="1">
      <c r="A165" s="28">
        <v>50</v>
      </c>
      <c r="B165" s="29">
        <v>30</v>
      </c>
      <c r="C165" s="29" t="s">
        <v>46</v>
      </c>
      <c r="D165" s="2">
        <v>8350000</v>
      </c>
      <c r="E165" s="1">
        <v>561.79999999999995</v>
      </c>
      <c r="F165" s="1">
        <f>D165/E165</f>
        <v>14862.940548237808</v>
      </c>
      <c r="G165" s="5">
        <f t="shared" si="75"/>
        <v>0.92</v>
      </c>
      <c r="H165" s="1">
        <f t="shared" si="90"/>
        <v>8100</v>
      </c>
      <c r="I165" s="1">
        <f>I164</f>
        <v>50</v>
      </c>
      <c r="J165" s="1">
        <f>D165*G165/H165+I165</f>
        <v>998.39506172839504</v>
      </c>
      <c r="K165" s="1"/>
      <c r="L165" s="237">
        <f>J165/E165</f>
        <v>1.7771361013321381</v>
      </c>
      <c r="M165" s="30">
        <f>O165/0.74</f>
        <v>19692.589230977748</v>
      </c>
      <c r="N165" s="30">
        <f>O165/0.78</f>
        <v>18682.712860158375</v>
      </c>
      <c r="O165" s="31">
        <f>L165*$AG$17</f>
        <v>14572.516030923533</v>
      </c>
      <c r="P165" s="211"/>
    </row>
    <row r="166" spans="1:35" ht="24.75" customHeight="1" thickBot="1">
      <c r="A166" s="28">
        <v>50</v>
      </c>
      <c r="B166" s="29">
        <v>50</v>
      </c>
      <c r="C166" s="29" t="s">
        <v>1</v>
      </c>
      <c r="D166" s="2">
        <v>8350000</v>
      </c>
      <c r="E166" s="1">
        <v>393.7</v>
      </c>
      <c r="F166" s="1">
        <f t="shared" si="84"/>
        <v>21209.042418084839</v>
      </c>
      <c r="G166" s="5">
        <f t="shared" si="75"/>
        <v>0.92</v>
      </c>
      <c r="H166" s="1">
        <f t="shared" si="90"/>
        <v>8100</v>
      </c>
      <c r="I166" s="1">
        <f t="shared" ref="I166:I172" si="93">$AH$70</f>
        <v>50</v>
      </c>
      <c r="J166" s="1">
        <f t="shared" si="85"/>
        <v>998.39506172839504</v>
      </c>
      <c r="K166" s="1"/>
      <c r="L166" s="237">
        <f t="shared" si="92"/>
        <v>2.5359285286471809</v>
      </c>
      <c r="M166" s="30">
        <f t="shared" si="87"/>
        <v>28100.82964176606</v>
      </c>
      <c r="N166" s="30">
        <f t="shared" si="88"/>
        <v>26659.761455008826</v>
      </c>
      <c r="O166" s="31">
        <f t="shared" si="89"/>
        <v>20794.613934906884</v>
      </c>
      <c r="P166" s="211"/>
    </row>
    <row r="167" spans="1:35" ht="18.75" thickBot="1">
      <c r="A167" s="28">
        <v>50</v>
      </c>
      <c r="B167" s="29">
        <v>50</v>
      </c>
      <c r="C167" s="29" t="s">
        <v>10</v>
      </c>
      <c r="D167" s="2">
        <v>8350000</v>
      </c>
      <c r="E167" s="1">
        <v>337.8</v>
      </c>
      <c r="F167" s="1">
        <f t="shared" si="84"/>
        <v>24718.768502072231</v>
      </c>
      <c r="G167" s="5">
        <f t="shared" si="75"/>
        <v>0.92</v>
      </c>
      <c r="H167" s="1">
        <f t="shared" si="90"/>
        <v>8100</v>
      </c>
      <c r="I167" s="1">
        <f t="shared" si="93"/>
        <v>50</v>
      </c>
      <c r="J167" s="1">
        <f t="shared" si="85"/>
        <v>998.39506172839504</v>
      </c>
      <c r="K167" s="1"/>
      <c r="L167" s="237">
        <f t="shared" si="92"/>
        <v>2.955580407721714</v>
      </c>
      <c r="M167" s="30">
        <f t="shared" si="87"/>
        <v>32751.026139618993</v>
      </c>
      <c r="N167" s="30">
        <f t="shared" si="88"/>
        <v>31071.486337587248</v>
      </c>
      <c r="O167" s="31">
        <f t="shared" si="89"/>
        <v>24235.759343318055</v>
      </c>
      <c r="P167" s="211"/>
    </row>
    <row r="168" spans="1:35" ht="23.25" customHeight="1" thickBot="1">
      <c r="A168" s="28">
        <v>60</v>
      </c>
      <c r="B168" s="29">
        <v>60</v>
      </c>
      <c r="C168" s="29" t="s">
        <v>1</v>
      </c>
      <c r="D168" s="2">
        <v>8350000</v>
      </c>
      <c r="E168" s="1">
        <v>325.73</v>
      </c>
      <c r="F168" s="1">
        <f t="shared" si="84"/>
        <v>25634.728149080525</v>
      </c>
      <c r="G168" s="5">
        <f t="shared" si="75"/>
        <v>0.92</v>
      </c>
      <c r="H168" s="1">
        <f t="shared" si="90"/>
        <v>8100</v>
      </c>
      <c r="I168" s="1">
        <f t="shared" si="93"/>
        <v>50</v>
      </c>
      <c r="J168" s="1">
        <f t="shared" si="85"/>
        <v>998.39506172839504</v>
      </c>
      <c r="K168" s="1"/>
      <c r="L168" s="237">
        <f t="shared" si="92"/>
        <v>3.0651001188972309</v>
      </c>
      <c r="M168" s="30">
        <f t="shared" si="87"/>
        <v>33964.622939131477</v>
      </c>
      <c r="N168" s="30">
        <f t="shared" si="88"/>
        <v>32222.847403791398</v>
      </c>
      <c r="O168" s="31">
        <f t="shared" si="89"/>
        <v>25133.820974957292</v>
      </c>
      <c r="P168" s="211"/>
    </row>
    <row r="169" spans="1:35" ht="24.75" customHeight="1" thickBot="1">
      <c r="A169" s="28">
        <v>50</v>
      </c>
      <c r="B169" s="29">
        <v>100</v>
      </c>
      <c r="C169" s="29" t="s">
        <v>19</v>
      </c>
      <c r="D169" s="2">
        <v>8350000</v>
      </c>
      <c r="E169" s="1">
        <v>150.15</v>
      </c>
      <c r="F169" s="1">
        <f t="shared" si="84"/>
        <v>55611.055611055606</v>
      </c>
      <c r="G169" s="5">
        <f>AF76</f>
        <v>0.92</v>
      </c>
      <c r="H169" s="1">
        <f>AG76</f>
        <v>8100</v>
      </c>
      <c r="I169" s="1">
        <f t="shared" si="93"/>
        <v>50</v>
      </c>
      <c r="J169" s="1">
        <f t="shared" si="85"/>
        <v>998.39506172839504</v>
      </c>
      <c r="K169" s="1"/>
      <c r="L169" s="237">
        <f t="shared" si="92"/>
        <v>6.6493177604288709</v>
      </c>
      <c r="M169" s="30">
        <f t="shared" si="87"/>
        <v>73681.629237184781</v>
      </c>
      <c r="N169" s="30">
        <f t="shared" si="88"/>
        <v>69903.08414809838</v>
      </c>
      <c r="O169" s="31">
        <f t="shared" si="89"/>
        <v>54524.405635516741</v>
      </c>
      <c r="P169" s="26"/>
    </row>
    <row r="170" spans="1:35" ht="24.75" customHeight="1" thickBot="1">
      <c r="A170" s="28">
        <v>60</v>
      </c>
      <c r="B170" s="29">
        <v>80</v>
      </c>
      <c r="C170" s="29" t="s">
        <v>3</v>
      </c>
      <c r="D170" s="2">
        <v>8350000</v>
      </c>
      <c r="E170" s="1">
        <v>236.97</v>
      </c>
      <c r="F170" s="1">
        <f t="shared" si="84"/>
        <v>35236.527830527069</v>
      </c>
      <c r="G170" s="5">
        <f>$AF$70</f>
        <v>0.92</v>
      </c>
      <c r="H170" s="1">
        <f>$AG$70</f>
        <v>8100</v>
      </c>
      <c r="I170" s="1">
        <f t="shared" si="93"/>
        <v>50</v>
      </c>
      <c r="J170" s="1">
        <f t="shared" si="85"/>
        <v>998.39506172839504</v>
      </c>
      <c r="K170" s="1"/>
      <c r="L170" s="237">
        <f t="shared" si="92"/>
        <v>4.2131707040063935</v>
      </c>
      <c r="M170" s="30">
        <f t="shared" si="87"/>
        <v>46686.486179530308</v>
      </c>
      <c r="N170" s="30">
        <f t="shared" si="88"/>
        <v>44292.307401092854</v>
      </c>
      <c r="O170" s="31">
        <f t="shared" si="89"/>
        <v>34547.999772852425</v>
      </c>
      <c r="P170" s="26"/>
      <c r="AH170" s="9"/>
      <c r="AI170" s="9"/>
    </row>
    <row r="171" spans="1:35" ht="23.25" customHeight="1" thickBot="1">
      <c r="A171" s="28">
        <v>60</v>
      </c>
      <c r="B171" s="29">
        <v>80</v>
      </c>
      <c r="C171" s="29" t="s">
        <v>19</v>
      </c>
      <c r="D171" s="2">
        <v>8350000</v>
      </c>
      <c r="E171" s="1">
        <v>161.55000000000001</v>
      </c>
      <c r="F171" s="1">
        <f t="shared" si="84"/>
        <v>51686.78427731352</v>
      </c>
      <c r="G171" s="5">
        <f>AF76</f>
        <v>0.92</v>
      </c>
      <c r="H171" s="1">
        <f>AG76</f>
        <v>8100</v>
      </c>
      <c r="I171" s="1">
        <f t="shared" si="93"/>
        <v>50</v>
      </c>
      <c r="J171" s="1">
        <f t="shared" si="85"/>
        <v>998.39506172839504</v>
      </c>
      <c r="K171" s="1"/>
      <c r="L171" s="237">
        <f t="shared" si="92"/>
        <v>6.180099422645589</v>
      </c>
      <c r="M171" s="30">
        <f t="shared" si="87"/>
        <v>68482.182791478146</v>
      </c>
      <c r="N171" s="30">
        <f t="shared" si="88"/>
        <v>64970.275981658757</v>
      </c>
      <c r="O171" s="31">
        <f t="shared" si="89"/>
        <v>50676.815265693833</v>
      </c>
      <c r="P171" s="26"/>
      <c r="Q171" s="211"/>
      <c r="R171" s="211"/>
      <c r="S171" s="211"/>
      <c r="T171" s="211"/>
      <c r="U171" s="211"/>
      <c r="V171" s="211"/>
      <c r="W171" s="211"/>
      <c r="X171" s="211"/>
      <c r="Y171" s="211"/>
      <c r="Z171" s="211"/>
      <c r="AA171" s="211"/>
      <c r="AB171" s="211"/>
      <c r="AC171" s="211"/>
      <c r="AD171" s="211"/>
      <c r="AH171" s="9"/>
      <c r="AI171" s="9"/>
    </row>
    <row r="172" spans="1:35" ht="21" thickBot="1">
      <c r="A172" s="238">
        <v>50</v>
      </c>
      <c r="B172" s="239">
        <v>100</v>
      </c>
      <c r="C172" s="239" t="s">
        <v>19</v>
      </c>
      <c r="D172" s="2">
        <v>8350000</v>
      </c>
      <c r="E172" s="2">
        <v>140.25</v>
      </c>
      <c r="F172" s="2">
        <f t="shared" si="84"/>
        <v>59536.541889483065</v>
      </c>
      <c r="G172" s="43">
        <f>AF76</f>
        <v>0.92</v>
      </c>
      <c r="H172" s="2">
        <f>AG76</f>
        <v>8100</v>
      </c>
      <c r="I172" s="2">
        <f t="shared" si="93"/>
        <v>50</v>
      </c>
      <c r="J172" s="2">
        <f t="shared" si="85"/>
        <v>998.39506172839504</v>
      </c>
      <c r="K172" s="2"/>
      <c r="L172" s="240">
        <f t="shared" si="92"/>
        <v>7.1186813670473796</v>
      </c>
      <c r="M172" s="61">
        <f t="shared" si="87"/>
        <v>78882.685418633133</v>
      </c>
      <c r="N172" s="61">
        <f t="shared" si="88"/>
        <v>74837.419499728858</v>
      </c>
      <c r="O172" s="33">
        <f>L172*$AG$17</f>
        <v>58373.187209788513</v>
      </c>
      <c r="P172" s="39"/>
      <c r="Q172" s="211"/>
      <c r="R172" s="211"/>
      <c r="S172" s="211"/>
      <c r="T172" s="211"/>
      <c r="U172" s="211"/>
      <c r="V172" s="211"/>
      <c r="W172" s="211"/>
      <c r="X172" s="211"/>
      <c r="Y172" s="211"/>
      <c r="Z172" s="211"/>
      <c r="AA172" s="211"/>
      <c r="AB172" s="211"/>
      <c r="AC172" s="211"/>
      <c r="AD172" s="211"/>
      <c r="AH172" s="3"/>
      <c r="AI172" s="9"/>
    </row>
    <row r="173" spans="1:35" ht="24.75" customHeight="1">
      <c r="P173" s="40"/>
      <c r="Q173" s="211"/>
      <c r="R173" s="211"/>
      <c r="S173" s="211"/>
      <c r="T173" s="211"/>
      <c r="U173" s="211"/>
      <c r="V173" s="211"/>
      <c r="W173" s="211"/>
      <c r="X173" s="211"/>
      <c r="Y173" s="211"/>
      <c r="Z173" s="211"/>
      <c r="AA173" s="211"/>
      <c r="AB173" s="211"/>
      <c r="AC173" s="211"/>
      <c r="AD173" s="211"/>
      <c r="AH173" s="3"/>
      <c r="AI173" s="9"/>
    </row>
    <row r="174" spans="1:35" ht="24.75" customHeight="1">
      <c r="P174" s="40"/>
      <c r="Q174" s="39"/>
      <c r="R174" s="39"/>
      <c r="S174" s="27"/>
      <c r="T174" s="39"/>
      <c r="U174" s="47"/>
      <c r="V174" s="48"/>
      <c r="W174" s="49"/>
      <c r="X174" s="49"/>
      <c r="Y174" s="50"/>
      <c r="Z174" s="50"/>
      <c r="AA174" s="51"/>
      <c r="AB174" s="27"/>
      <c r="AC174" s="27"/>
      <c r="AD174" s="27"/>
      <c r="AH174" s="3"/>
      <c r="AI174" s="9"/>
    </row>
    <row r="175" spans="1:35" ht="24.75" customHeight="1">
      <c r="P175" s="40"/>
      <c r="Q175" s="211"/>
      <c r="R175" s="211"/>
      <c r="S175" s="211"/>
      <c r="T175" s="211"/>
      <c r="U175" s="211"/>
      <c r="V175" s="211"/>
      <c r="W175" s="211"/>
      <c r="X175" s="211"/>
      <c r="Y175" s="211"/>
      <c r="Z175" s="211"/>
      <c r="AA175" s="211"/>
      <c r="AB175" s="211"/>
      <c r="AC175" s="211"/>
      <c r="AD175" s="211"/>
      <c r="AH175" s="3"/>
      <c r="AI175" s="9"/>
    </row>
    <row r="176" spans="1:35" ht="21.75" customHeight="1">
      <c r="P176" s="40"/>
      <c r="Q176" s="211"/>
      <c r="R176" s="211"/>
      <c r="S176" s="211"/>
      <c r="T176" s="211"/>
      <c r="U176" s="211"/>
      <c r="V176" s="211"/>
      <c r="W176" s="211"/>
      <c r="X176" s="211"/>
      <c r="Y176" s="211"/>
      <c r="Z176" s="211"/>
      <c r="AA176" s="211"/>
      <c r="AB176" s="211"/>
      <c r="AC176" s="211"/>
      <c r="AD176" s="211"/>
      <c r="AH176" s="3"/>
      <c r="AI176" s="9"/>
    </row>
    <row r="177" spans="16:35" ht="24.75" customHeight="1">
      <c r="P177" s="26"/>
      <c r="Q177" s="211"/>
      <c r="R177" s="211"/>
      <c r="S177" s="211"/>
      <c r="T177" s="211"/>
      <c r="U177" s="211"/>
      <c r="V177" s="211"/>
      <c r="W177" s="211"/>
      <c r="X177" s="211"/>
      <c r="Y177" s="211"/>
      <c r="Z177" s="211"/>
      <c r="AA177" s="211"/>
      <c r="AB177" s="211"/>
      <c r="AC177" s="211"/>
      <c r="AD177" s="211"/>
      <c r="AH177" s="3"/>
      <c r="AI177" s="9"/>
    </row>
    <row r="178" spans="16:35" ht="26.25" customHeight="1">
      <c r="P178" s="26"/>
      <c r="Q178" s="211"/>
      <c r="R178" s="211"/>
      <c r="S178" s="211"/>
      <c r="T178" s="211"/>
      <c r="U178" s="211"/>
      <c r="V178" s="211"/>
      <c r="W178" s="211"/>
      <c r="X178" s="211"/>
      <c r="Y178" s="211"/>
      <c r="Z178" s="211"/>
      <c r="AA178" s="211"/>
      <c r="AB178" s="211"/>
      <c r="AC178" s="211"/>
      <c r="AD178" s="211"/>
      <c r="AH178" s="9"/>
      <c r="AI178" s="9"/>
    </row>
    <row r="179" spans="16:35" ht="24.75" customHeight="1">
      <c r="P179" s="26"/>
      <c r="Q179" s="211"/>
      <c r="R179" s="211"/>
      <c r="S179" s="211"/>
      <c r="T179" s="211"/>
      <c r="U179" s="211"/>
      <c r="V179" s="211"/>
      <c r="W179" s="211"/>
      <c r="X179" s="211"/>
      <c r="Y179" s="211"/>
      <c r="Z179" s="211"/>
      <c r="AA179" s="211"/>
      <c r="AB179" s="211"/>
      <c r="AC179" s="211"/>
      <c r="AD179" s="211"/>
      <c r="AH179" s="9"/>
      <c r="AI179" s="9"/>
    </row>
    <row r="180" spans="16:35" ht="24.75" customHeight="1">
      <c r="P180" s="26"/>
      <c r="Q180" s="211"/>
      <c r="R180" s="211"/>
      <c r="S180" s="211"/>
      <c r="T180" s="211"/>
      <c r="U180" s="211"/>
      <c r="V180" s="211"/>
      <c r="W180" s="211"/>
      <c r="X180" s="211"/>
      <c r="Y180" s="211"/>
      <c r="Z180" s="211"/>
      <c r="AA180" s="211"/>
      <c r="AB180" s="211"/>
      <c r="AC180" s="211"/>
      <c r="AD180" s="211"/>
      <c r="AH180" s="9"/>
      <c r="AI180" s="9"/>
    </row>
    <row r="181" spans="16:35" ht="18">
      <c r="P181" s="26"/>
      <c r="Q181" s="211"/>
      <c r="R181" s="211"/>
      <c r="S181" s="211"/>
      <c r="T181" s="211"/>
      <c r="U181" s="211"/>
      <c r="V181" s="211"/>
      <c r="W181" s="211"/>
      <c r="X181" s="211"/>
      <c r="Y181" s="211"/>
      <c r="Z181" s="211"/>
      <c r="AA181" s="211"/>
      <c r="AB181" s="211"/>
      <c r="AC181" s="211"/>
      <c r="AD181" s="211" t="s">
        <v>109</v>
      </c>
      <c r="AH181" s="9"/>
      <c r="AI181" s="9"/>
    </row>
    <row r="182" spans="16:35" ht="31.5" customHeight="1">
      <c r="P182" s="26"/>
      <c r="Q182" s="211"/>
      <c r="R182" s="211"/>
      <c r="S182" s="211"/>
      <c r="T182" s="211"/>
      <c r="U182" s="211"/>
      <c r="V182" s="211"/>
      <c r="W182" s="211"/>
      <c r="X182" s="211"/>
      <c r="Y182" s="211"/>
      <c r="Z182" s="211"/>
      <c r="AA182" s="211"/>
      <c r="AB182" s="211"/>
      <c r="AC182" s="211"/>
      <c r="AD182" s="211"/>
      <c r="AH182" s="32"/>
      <c r="AI182" s="9"/>
    </row>
    <row r="183" spans="16:35" ht="18">
      <c r="P183" s="26"/>
      <c r="Q183" s="211"/>
      <c r="R183" s="211"/>
      <c r="S183" s="211"/>
      <c r="T183" s="211"/>
      <c r="U183" s="211"/>
      <c r="V183" s="211"/>
      <c r="W183" s="211"/>
      <c r="X183" s="211"/>
      <c r="Y183" s="211"/>
      <c r="Z183" s="211"/>
      <c r="AA183" s="211"/>
      <c r="AB183" s="211"/>
      <c r="AC183" s="211"/>
      <c r="AD183" s="211"/>
    </row>
    <row r="184" spans="16:35" ht="24.75" customHeight="1">
      <c r="P184" s="26"/>
      <c r="Q184" s="211"/>
      <c r="R184" s="211"/>
      <c r="S184" s="211"/>
      <c r="T184" s="211"/>
      <c r="U184" s="211"/>
      <c r="V184" s="211"/>
      <c r="W184" s="211"/>
      <c r="X184" s="211"/>
      <c r="Y184" s="211"/>
      <c r="Z184" s="211"/>
      <c r="AA184" s="211"/>
      <c r="AB184" s="211"/>
      <c r="AC184" s="211"/>
      <c r="AD184" s="211"/>
    </row>
    <row r="185" spans="16:35" ht="18">
      <c r="P185" s="26"/>
      <c r="Q185" s="211"/>
      <c r="R185" s="211"/>
      <c r="S185" s="211"/>
      <c r="T185" s="211"/>
      <c r="U185" s="211"/>
      <c r="V185" s="211"/>
      <c r="W185" s="211"/>
      <c r="X185" s="211"/>
      <c r="Y185" s="211"/>
      <c r="Z185" s="211"/>
      <c r="AA185" s="211"/>
      <c r="AB185" s="211"/>
      <c r="AC185" s="211"/>
      <c r="AD185" s="211"/>
    </row>
    <row r="186" spans="16:35" ht="18">
      <c r="P186" s="26"/>
    </row>
    <row r="187" spans="16:35" ht="18">
      <c r="P187" s="26"/>
    </row>
    <row r="190" spans="16:35" ht="24.75" customHeight="1">
      <c r="AD190" s="7" t="s">
        <v>58</v>
      </c>
    </row>
    <row r="191" spans="16:35" ht="24.75" customHeight="1"/>
    <row r="192" spans="16:35" ht="24.75" customHeight="1"/>
    <row r="193" spans="12:30" ht="24.75" customHeight="1"/>
    <row r="200" spans="12:30" ht="20.25" customHeight="1">
      <c r="L200" s="19"/>
    </row>
    <row r="201" spans="12:30" ht="17.25" customHeight="1">
      <c r="L201" s="19"/>
    </row>
    <row r="202" spans="12:30" ht="17.25" customHeight="1"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</row>
    <row r="203" spans="12:30"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</row>
    <row r="204" spans="12:30" ht="18">
      <c r="P204" s="2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</row>
    <row r="205" spans="12:30" ht="18">
      <c r="P205" s="26"/>
    </row>
    <row r="206" spans="12:30" ht="18">
      <c r="P206" s="26"/>
    </row>
    <row r="207" spans="12:30" ht="37.5" customHeight="1">
      <c r="P207" s="26"/>
    </row>
    <row r="208" spans="12:30" ht="26.25" customHeight="1"/>
    <row r="209" spans="16:30" ht="23.25" customHeight="1"/>
    <row r="210" spans="16:30" ht="30.75" customHeight="1"/>
    <row r="211" spans="16:30" ht="3" customHeight="1"/>
    <row r="212" spans="16:30" ht="19.5" customHeight="1">
      <c r="Q212" s="39"/>
      <c r="R212" s="39"/>
      <c r="S212" s="27"/>
      <c r="T212" s="39"/>
      <c r="U212" s="47"/>
      <c r="V212" s="48"/>
      <c r="W212" s="49"/>
      <c r="X212" s="49"/>
      <c r="Y212" s="50"/>
      <c r="Z212" s="50"/>
      <c r="AA212" s="51"/>
      <c r="AB212" s="27"/>
      <c r="AC212" s="27"/>
      <c r="AD212" s="27"/>
    </row>
    <row r="213" spans="16:30" ht="20.25" customHeight="1"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</row>
    <row r="214" spans="16:30" ht="20.25" customHeight="1">
      <c r="P214" s="26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</row>
    <row r="215" spans="16:30" ht="27.75" customHeight="1">
      <c r="P215" s="26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</row>
    <row r="216" spans="16:30" ht="22.5" customHeight="1">
      <c r="P216" s="26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</row>
    <row r="217" spans="16:30" ht="30" customHeight="1">
      <c r="P217" s="26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</row>
    <row r="218" spans="16:30" ht="23.25" customHeight="1">
      <c r="P218" s="26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</row>
    <row r="219" spans="16:30" ht="17.25" customHeight="1">
      <c r="P219" s="26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</row>
    <row r="220" spans="16:30" ht="19.5" customHeight="1">
      <c r="P220" s="27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</row>
    <row r="221" spans="16:30" ht="21.75" customHeight="1">
      <c r="P221" s="26"/>
    </row>
    <row r="222" spans="16:30" ht="18" customHeight="1">
      <c r="P222" s="27"/>
    </row>
    <row r="224" spans="16:30" ht="18" customHeight="1"/>
    <row r="225" spans="15:27" ht="15" customHeight="1"/>
    <row r="228" spans="15:27" ht="14.25" customHeight="1"/>
    <row r="229" spans="15:27" ht="15" customHeight="1"/>
    <row r="230" spans="15:27" ht="5.25" customHeight="1">
      <c r="O230" s="19"/>
      <c r="W230" s="9"/>
      <c r="X230" s="9"/>
      <c r="Y230" s="9"/>
      <c r="Z230" s="9"/>
      <c r="AA230" s="9"/>
    </row>
    <row r="231" spans="15:27" ht="29.25" customHeight="1">
      <c r="O231" s="19"/>
      <c r="W231" s="24"/>
      <c r="X231" s="24"/>
      <c r="Y231" s="9"/>
      <c r="Z231" s="9"/>
      <c r="AA231" s="25"/>
    </row>
    <row r="232" spans="15:27">
      <c r="O232" s="19"/>
    </row>
    <row r="233" spans="15:27" ht="20.25" customHeight="1">
      <c r="O233" s="19"/>
    </row>
    <row r="234" spans="15:27">
      <c r="O234" s="19"/>
      <c r="Q234" s="19"/>
      <c r="R234" s="19"/>
      <c r="S234" s="19"/>
      <c r="T234" s="19"/>
    </row>
    <row r="235" spans="15:27">
      <c r="O235" s="19"/>
      <c r="Q235" s="19"/>
      <c r="R235" s="19"/>
      <c r="S235" s="19"/>
      <c r="T235" s="19"/>
    </row>
    <row r="236" spans="15:27">
      <c r="O236" s="19"/>
      <c r="P236" s="19"/>
      <c r="Q236" s="19"/>
      <c r="R236" s="19"/>
      <c r="S236" s="19"/>
      <c r="T236" s="19"/>
    </row>
    <row r="237" spans="15:27">
      <c r="O237" s="19"/>
      <c r="P237" s="19"/>
      <c r="Q237" s="19"/>
      <c r="R237" s="19"/>
      <c r="S237" s="19"/>
      <c r="T237" s="19"/>
    </row>
    <row r="238" spans="15:27" ht="15.75">
      <c r="O238" s="19"/>
      <c r="P238" s="42"/>
      <c r="Q238" s="19"/>
      <c r="R238" s="19"/>
      <c r="S238" s="19"/>
      <c r="T238" s="19"/>
    </row>
    <row r="239" spans="15:27">
      <c r="O239" s="19"/>
      <c r="P239" s="19"/>
      <c r="Q239" s="19"/>
      <c r="R239" s="19"/>
      <c r="S239" s="19"/>
      <c r="T239" s="19"/>
    </row>
    <row r="240" spans="15:27">
      <c r="P240" s="19"/>
      <c r="Q240" s="19"/>
      <c r="R240" s="19"/>
      <c r="S240" s="19"/>
      <c r="T240" s="19"/>
    </row>
    <row r="241" spans="16:20">
      <c r="P241" s="19"/>
      <c r="Q241" s="19"/>
      <c r="R241" s="19"/>
      <c r="S241" s="19"/>
      <c r="T241" s="19"/>
    </row>
    <row r="242" spans="16:20">
      <c r="P242" s="19"/>
      <c r="Q242" s="19"/>
      <c r="R242" s="19"/>
      <c r="S242" s="19"/>
      <c r="T242" s="19"/>
    </row>
    <row r="243" spans="16:20">
      <c r="P243" s="19"/>
      <c r="Q243" s="19"/>
      <c r="R243" s="19"/>
      <c r="S243" s="19"/>
      <c r="T243" s="19"/>
    </row>
    <row r="244" spans="16:20">
      <c r="P244" s="19"/>
    </row>
    <row r="245" spans="16:20">
      <c r="P245" s="19"/>
    </row>
    <row r="254" spans="16:20" ht="14.25" customHeight="1"/>
  </sheetData>
  <sortState ref="A4:E61">
    <sortCondition ref="A4:A61"/>
  </sortState>
  <mergeCells count="19">
    <mergeCell ref="Q132:S132"/>
    <mergeCell ref="A140:E140"/>
    <mergeCell ref="H6:L11"/>
    <mergeCell ref="AG15:AH15"/>
    <mergeCell ref="A16:O16"/>
    <mergeCell ref="AP39:AQ41"/>
    <mergeCell ref="AL108:AL114"/>
    <mergeCell ref="AK16:AL16"/>
    <mergeCell ref="Q16:AD16"/>
    <mergeCell ref="AG16:AH16"/>
    <mergeCell ref="AJ39:AJ41"/>
    <mergeCell ref="AL39:AM41"/>
    <mergeCell ref="AK17:AL17"/>
    <mergeCell ref="AI68:AI70"/>
    <mergeCell ref="AI75:AI78"/>
    <mergeCell ref="AI45:AI46"/>
    <mergeCell ref="Q96:T96"/>
    <mergeCell ref="AG17:AH17"/>
    <mergeCell ref="AI50:AI51"/>
  </mergeCells>
  <pageMargins left="0.2" right="0.2" top="0.2" bottom="0.2" header="0.2" footer="0.21"/>
  <pageSetup paperSize="9" scale="25" orientation="portrait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Арматура Прайс лист</vt:lpstr>
      <vt:lpstr>Прайс лист ТРУБЫ</vt:lpstr>
      <vt:lpstr>'Арматура Прайс лист'!Область_печати</vt:lpstr>
      <vt:lpstr>'Прайс лист ТРУБЫ'!Область_печати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Vlad</cp:lastModifiedBy>
  <cp:lastPrinted>2017-12-17T09:39:00Z</cp:lastPrinted>
  <dcterms:created xsi:type="dcterms:W3CDTF">2016-06-10T16:52:39Z</dcterms:created>
  <dcterms:modified xsi:type="dcterms:W3CDTF">2018-02-20T04:07:33Z</dcterms:modified>
</cp:coreProperties>
</file>