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8475" windowHeight="5565" tabRatio="688"/>
  </bookViews>
  <sheets>
    <sheet name="буквы" sheetId="10" r:id="rId1"/>
    <sheet name="WP" sheetId="12" r:id="rId2"/>
    <sheet name="ГОТОВАЯ ПРОД" sheetId="13" r:id="rId3"/>
    <sheet name="ВЫСТАВ ИНВЕНТАРЬ" sheetId="14" r:id="rId4"/>
    <sheet name="дизайн" sheetId="15" r:id="rId5"/>
  </sheets>
  <definedNames>
    <definedName name="_xlnm.Print_Area" localSheetId="1">WP!$A$1:$N$46</definedName>
    <definedName name="_xlnm.Print_Area" localSheetId="0">буквы!$A$1:$N$37</definedName>
    <definedName name="_xlnm.Print_Area" localSheetId="3">'ВЫСТАВ ИНВЕНТАРЬ'!$A$1:$N$44</definedName>
    <definedName name="_xlnm.Print_Area" localSheetId="2">'ГОТОВАЯ ПРОД'!$A$1:$N$38</definedName>
    <definedName name="_xlnm.Print_Area" localSheetId="4">дизайн!$A$1:$N$38</definedName>
  </definedNames>
  <calcPr calcId="125725"/>
</workbook>
</file>

<file path=xl/calcChain.xml><?xml version="1.0" encoding="utf-8"?>
<calcChain xmlns="http://schemas.openxmlformats.org/spreadsheetml/2006/main">
  <c r="D23" i="10"/>
  <c r="G22" i="13"/>
  <c r="D22" i="10"/>
  <c r="P4" i="13"/>
  <c r="L16" s="1"/>
  <c r="D13" i="10"/>
  <c r="D14"/>
  <c r="E28"/>
  <c r="G23" i="13"/>
  <c r="K2" i="12"/>
  <c r="P5"/>
  <c r="P7" i="14"/>
  <c r="P4"/>
  <c r="I36" s="1"/>
  <c r="K2"/>
  <c r="D9" i="10"/>
  <c r="D8"/>
  <c r="D7"/>
  <c r="D15"/>
  <c r="D16"/>
  <c r="D17"/>
  <c r="D18"/>
  <c r="E27"/>
  <c r="M18"/>
  <c r="M17"/>
  <c r="M16"/>
  <c r="C1" i="15"/>
  <c r="C1" i="13"/>
  <c r="C1" i="12"/>
  <c r="C1" i="14"/>
  <c r="P6" i="15"/>
  <c r="P4"/>
  <c r="I17" s="1"/>
  <c r="K2"/>
  <c r="P6" i="13"/>
  <c r="K2"/>
  <c r="P7" i="12"/>
  <c r="K18" s="1"/>
  <c r="G14"/>
  <c r="G13"/>
  <c r="E29" i="10"/>
  <c r="E31"/>
  <c r="E30"/>
  <c r="M23"/>
  <c r="K23"/>
  <c r="I23"/>
  <c r="G23"/>
  <c r="E23"/>
  <c r="M22"/>
  <c r="K22"/>
  <c r="I22"/>
  <c r="G22"/>
  <c r="E22"/>
  <c r="M15"/>
  <c r="K15"/>
  <c r="I15"/>
  <c r="G15"/>
  <c r="E15"/>
  <c r="M14"/>
  <c r="K14"/>
  <c r="I14"/>
  <c r="G14"/>
  <c r="E14"/>
  <c r="M13"/>
  <c r="K13"/>
  <c r="I13"/>
  <c r="G13"/>
  <c r="E13"/>
  <c r="E9"/>
  <c r="G8"/>
  <c r="I8"/>
  <c r="K8"/>
  <c r="M8"/>
  <c r="E8"/>
  <c r="A8"/>
  <c r="A9"/>
  <c r="A10"/>
  <c r="A13"/>
  <c r="A14"/>
  <c r="A15"/>
  <c r="A16" s="1"/>
  <c r="A17" s="1"/>
  <c r="A18" s="1"/>
  <c r="A22" s="1"/>
  <c r="A23" s="1"/>
  <c r="A27" s="1"/>
  <c r="A28" s="1"/>
  <c r="A29" s="1"/>
  <c r="A30" s="1"/>
  <c r="A31" s="1"/>
  <c r="A8" i="12" s="1"/>
  <c r="A9" s="1"/>
  <c r="E7" i="10"/>
  <c r="I7"/>
  <c r="G7"/>
  <c r="M7"/>
  <c r="K7"/>
  <c r="M9"/>
  <c r="K9"/>
  <c r="I9"/>
  <c r="G9"/>
  <c r="G28" i="12" l="1"/>
  <c r="M30"/>
  <c r="K30"/>
  <c r="I30"/>
  <c r="J36"/>
  <c r="J22"/>
  <c r="I26"/>
  <c r="G26"/>
  <c r="K26"/>
  <c r="M26"/>
  <c r="G27"/>
  <c r="M27"/>
  <c r="K27"/>
  <c r="I27"/>
  <c r="M28"/>
  <c r="K28"/>
  <c r="I28"/>
  <c r="I12" i="14"/>
  <c r="I13"/>
  <c r="I14"/>
  <c r="I7"/>
  <c r="I8"/>
  <c r="I9"/>
  <c r="I10"/>
  <c r="G8" i="12"/>
  <c r="G11"/>
  <c r="K31" i="13"/>
  <c r="I31"/>
  <c r="M15" i="12"/>
  <c r="I15"/>
  <c r="K15"/>
  <c r="I24" i="15"/>
  <c r="I25"/>
  <c r="G15" i="12"/>
  <c r="G30"/>
  <c r="G35"/>
  <c r="I35"/>
  <c r="K35"/>
  <c r="M35"/>
  <c r="K32"/>
  <c r="K34"/>
  <c r="G31"/>
  <c r="I31"/>
  <c r="K31"/>
  <c r="M31"/>
  <c r="G33"/>
  <c r="I33"/>
  <c r="K33"/>
  <c r="M33"/>
  <c r="G16"/>
  <c r="I34" i="15"/>
  <c r="I33"/>
  <c r="I35"/>
  <c r="I15" i="14"/>
  <c r="I11"/>
  <c r="I37"/>
  <c r="F21"/>
  <c r="F22"/>
  <c r="F23"/>
  <c r="F24"/>
  <c r="F25"/>
  <c r="F26"/>
  <c r="F27"/>
  <c r="F28"/>
  <c r="F29"/>
  <c r="F30"/>
  <c r="I21"/>
  <c r="I22"/>
  <c r="I23"/>
  <c r="I24"/>
  <c r="I25"/>
  <c r="I26"/>
  <c r="I38"/>
  <c r="I39"/>
  <c r="L16"/>
  <c r="G17" i="12"/>
  <c r="I17"/>
  <c r="K17"/>
  <c r="M17"/>
  <c r="M8"/>
  <c r="K8"/>
  <c r="K20"/>
  <c r="G19" s="1"/>
  <c r="I13"/>
  <c r="K13"/>
  <c r="M13"/>
  <c r="E18" i="10"/>
  <c r="G18"/>
  <c r="I18"/>
  <c r="K18"/>
  <c r="E17"/>
  <c r="G17"/>
  <c r="I17"/>
  <c r="K17"/>
  <c r="E16"/>
  <c r="G16"/>
  <c r="I16"/>
  <c r="K16"/>
  <c r="A10" i="12"/>
  <c r="A11" s="1"/>
  <c r="I23" i="15"/>
  <c r="I30"/>
  <c r="I29"/>
  <c r="I21"/>
  <c r="K36" i="13"/>
  <c r="I22" i="15"/>
  <c r="I12"/>
  <c r="I13"/>
  <c r="I14"/>
  <c r="I15"/>
  <c r="I16"/>
  <c r="I6"/>
  <c r="I7"/>
  <c r="I8"/>
  <c r="I9"/>
  <c r="I14" i="13"/>
  <c r="I15"/>
  <c r="K35"/>
  <c r="I35"/>
  <c r="I36"/>
  <c r="I26"/>
  <c r="K26"/>
  <c r="M26"/>
  <c r="G26"/>
  <c r="G9" i="12"/>
  <c r="I34" i="13" s="1"/>
  <c r="G10" i="12"/>
  <c r="I21"/>
  <c r="K21"/>
  <c r="I7" i="13" s="1"/>
  <c r="M21" i="12"/>
  <c r="I8"/>
  <c r="G15" i="13"/>
  <c r="G14"/>
  <c r="I8"/>
  <c r="I9"/>
  <c r="G21" i="12"/>
  <c r="G9" i="13" s="1"/>
  <c r="I10" i="12"/>
  <c r="K10"/>
  <c r="M10"/>
  <c r="I11"/>
  <c r="K11"/>
  <c r="M11"/>
  <c r="I25" i="13" l="1"/>
  <c r="I24"/>
  <c r="A13" i="12"/>
  <c r="A14" s="1"/>
  <c r="A15" s="1"/>
  <c r="A16" s="1"/>
  <c r="A17" s="1"/>
  <c r="A19" s="1"/>
  <c r="A20" s="1"/>
  <c r="A21" s="1"/>
  <c r="A22" s="1"/>
  <c r="A26" s="1"/>
  <c r="A27" s="1"/>
  <c r="A28" s="1"/>
  <c r="K25" i="13"/>
  <c r="K24"/>
  <c r="M25"/>
  <c r="M24"/>
  <c r="I32"/>
  <c r="K32"/>
  <c r="G25"/>
  <c r="G24"/>
  <c r="M19" i="12"/>
  <c r="M16"/>
  <c r="K19"/>
  <c r="K16"/>
  <c r="I19"/>
  <c r="I16"/>
  <c r="G13" i="13"/>
  <c r="K34"/>
  <c r="K33"/>
  <c r="I33"/>
  <c r="I13"/>
  <c r="I9" i="12"/>
  <c r="K9"/>
  <c r="M9"/>
  <c r="G7" i="13"/>
  <c r="G8"/>
  <c r="A30" i="12" l="1"/>
  <c r="A31" s="1"/>
  <c r="A32" s="1"/>
  <c r="A33" s="1"/>
  <c r="A34" s="1"/>
  <c r="A35" s="1"/>
  <c r="A36" s="1"/>
  <c r="A7" i="13" s="1"/>
  <c r="A8" s="1"/>
  <c r="A9" s="1"/>
  <c r="A13" l="1"/>
  <c r="A14" s="1"/>
  <c r="A15" s="1"/>
  <c r="A16" s="1"/>
  <c r="A22" s="1"/>
  <c r="A23" s="1"/>
  <c r="A24" s="1"/>
  <c r="A25" s="1"/>
  <c r="A26" s="1"/>
  <c r="A31" s="1"/>
  <c r="A32" s="1"/>
  <c r="A33" s="1"/>
  <c r="A34" s="1"/>
  <c r="A35" s="1"/>
  <c r="A36" s="1"/>
  <c r="A7" i="14" s="1"/>
  <c r="A8" s="1"/>
  <c r="A9" s="1"/>
  <c r="A10" s="1"/>
  <c r="A11" l="1"/>
  <c r="A12" s="1"/>
  <c r="A13" s="1"/>
  <c r="A14" s="1"/>
  <c r="A15" s="1"/>
  <c r="A16" s="1"/>
  <c r="A21" s="1"/>
  <c r="A22" s="1"/>
  <c r="A23" s="1"/>
  <c r="A24" s="1"/>
  <c r="A25" s="1"/>
  <c r="A26" s="1"/>
  <c r="A27" s="1"/>
  <c r="A28" s="1"/>
  <c r="A29" s="1"/>
  <c r="A30" s="1"/>
  <c r="A35" s="1"/>
  <c r="A36" l="1"/>
  <c r="A37" s="1"/>
  <c r="A38" s="1"/>
  <c r="A39" s="1"/>
  <c r="A40" s="1"/>
  <c r="A6" i="15" s="1"/>
  <c r="A7" s="1"/>
  <c r="A8" s="1"/>
  <c r="A9" s="1"/>
  <c r="A12" s="1"/>
  <c r="A13" s="1"/>
  <c r="A14" s="1"/>
  <c r="A15" s="1"/>
  <c r="A16" s="1"/>
  <c r="A17" s="1"/>
  <c r="A21" s="1"/>
  <c r="A22" s="1"/>
  <c r="A23" s="1"/>
  <c r="A24" s="1"/>
  <c r="A25" s="1"/>
  <c r="A29" s="1"/>
  <c r="A30" s="1"/>
  <c r="A33" s="1"/>
  <c r="A34" s="1"/>
  <c r="A35" s="1"/>
</calcChain>
</file>

<file path=xl/sharedStrings.xml><?xml version="1.0" encoding="utf-8"?>
<sst xmlns="http://schemas.openxmlformats.org/spreadsheetml/2006/main" count="219" uniqueCount="166">
  <si>
    <t>$</t>
  </si>
  <si>
    <t>Билборды, перетяжки, сити-форматы, брандмауеры</t>
  </si>
  <si>
    <t>ДИЗАЙН В ПОЛИГРАФИИ</t>
  </si>
  <si>
    <t>Флаеры</t>
  </si>
  <si>
    <t>Лефлеты А4</t>
  </si>
  <si>
    <t>Буклеты А4</t>
  </si>
  <si>
    <t>Плакаты А3, А2, А1</t>
  </si>
  <si>
    <t>Календари настенные, настольные перекидные</t>
  </si>
  <si>
    <t>ДОПОЛНИТЕЛЬНО</t>
  </si>
  <si>
    <t>1 час</t>
  </si>
  <si>
    <t>Доработка отдельных фрагментов файла</t>
  </si>
  <si>
    <t>1 файл</t>
  </si>
  <si>
    <t>Совместная работа с дизайнером</t>
  </si>
  <si>
    <t>3-D дизайн элементов фасада</t>
  </si>
  <si>
    <t>+10%</t>
  </si>
  <si>
    <t>до 1</t>
  </si>
  <si>
    <t>СВЕТОВЫЕ КОРОБА</t>
  </si>
  <si>
    <t>1см</t>
  </si>
  <si>
    <t>пластик + оракал</t>
  </si>
  <si>
    <t>ФомЭкс + оракал</t>
  </si>
  <si>
    <t>акрил</t>
  </si>
  <si>
    <t>монтаж</t>
  </si>
  <si>
    <t>из алюпана</t>
  </si>
  <si>
    <t>см</t>
  </si>
  <si>
    <t>от 15% до 45%</t>
  </si>
  <si>
    <t>от 15% до 65%</t>
  </si>
  <si>
    <r>
      <t>1м</t>
    </r>
    <r>
      <rPr>
        <b/>
        <vertAlign val="superscript"/>
        <sz val="10"/>
        <rFont val="Europe"/>
        <family val="2"/>
      </rPr>
      <t>2</t>
    </r>
  </si>
  <si>
    <t>ПЛАНШЕТ под буквы (каркас)</t>
  </si>
  <si>
    <t>из метал трубы</t>
  </si>
  <si>
    <t>из баннера (+ДВП+дерево)</t>
  </si>
  <si>
    <t>из бруса (дерево+лак)</t>
  </si>
  <si>
    <t>Декоративный шрифт</t>
  </si>
  <si>
    <t>+20%</t>
  </si>
  <si>
    <r>
      <t>баннер 320-380гр/м</t>
    </r>
    <r>
      <rPr>
        <vertAlign val="superscript"/>
        <sz val="10"/>
        <rFont val="Europe"/>
        <family val="2"/>
      </rPr>
      <t>2</t>
    </r>
  </si>
  <si>
    <t>баннер с люверсацией (12шт)</t>
  </si>
  <si>
    <t>баннер на дерев. каркасе</t>
  </si>
  <si>
    <t>оракал (Китай, Корея)</t>
  </si>
  <si>
    <t>оракал (Германия)</t>
  </si>
  <si>
    <r>
      <t>монтаж выше 2</t>
    </r>
    <r>
      <rPr>
        <b/>
        <vertAlign val="superscript"/>
        <sz val="10"/>
        <rFont val="Europe"/>
        <family val="2"/>
      </rPr>
      <t>х</t>
    </r>
    <r>
      <rPr>
        <b/>
        <sz val="10"/>
        <rFont val="Europe"/>
        <family val="2"/>
      </rPr>
      <t>м</t>
    </r>
  </si>
  <si>
    <r>
      <t>монтаж выше 2</t>
    </r>
    <r>
      <rPr>
        <b/>
        <vertAlign val="superscript"/>
        <sz val="9"/>
        <rFont val="Europe"/>
        <family val="2"/>
      </rPr>
      <t>х</t>
    </r>
    <r>
      <rPr>
        <b/>
        <sz val="9"/>
        <rFont val="Europe"/>
        <family val="2"/>
      </rPr>
      <t>м</t>
    </r>
  </si>
  <si>
    <r>
      <t>за1м</t>
    </r>
    <r>
      <rPr>
        <i/>
        <vertAlign val="superscript"/>
        <sz val="8"/>
        <rFont val="Europe"/>
        <family val="2"/>
      </rPr>
      <t>2</t>
    </r>
  </si>
  <si>
    <t>баннер с проклейкой карманов (1м/п)</t>
  </si>
  <si>
    <t>холст</t>
  </si>
  <si>
    <r>
      <t>до 10 м</t>
    </r>
    <r>
      <rPr>
        <b/>
        <vertAlign val="superscript"/>
        <sz val="8"/>
        <rFont val="Europe"/>
        <family val="2"/>
      </rPr>
      <t>2</t>
    </r>
  </si>
  <si>
    <r>
      <t>до 50 м</t>
    </r>
    <r>
      <rPr>
        <b/>
        <vertAlign val="superscript"/>
        <sz val="8"/>
        <rFont val="Europe"/>
        <family val="2"/>
      </rPr>
      <t>2</t>
    </r>
  </si>
  <si>
    <r>
      <t>до 100 м</t>
    </r>
    <r>
      <rPr>
        <b/>
        <vertAlign val="superscript"/>
        <sz val="8"/>
        <rFont val="Europe"/>
        <family val="2"/>
      </rPr>
      <t>2</t>
    </r>
  </si>
  <si>
    <t>выклейка ВИТРАЖНЫХ ОКОН (Китай)</t>
  </si>
  <si>
    <r>
      <rPr>
        <sz val="9"/>
        <rFont val="Europe"/>
        <family val="2"/>
      </rPr>
      <t>выклейка ВИТРАЖНЫХ ОКОН</t>
    </r>
    <r>
      <rPr>
        <b/>
        <sz val="9"/>
        <rFont val="Europe"/>
        <family val="2"/>
      </rPr>
      <t xml:space="preserve"> </t>
    </r>
    <r>
      <rPr>
        <sz val="9"/>
        <rFont val="Europe"/>
        <family val="2"/>
      </rPr>
      <t>(</t>
    </r>
    <r>
      <rPr>
        <sz val="8"/>
        <rFont val="Europe"/>
        <family val="2"/>
      </rPr>
      <t xml:space="preserve">без стоимости материала) </t>
    </r>
  </si>
  <si>
    <r>
      <t xml:space="preserve">выклейка на других </t>
    </r>
    <r>
      <rPr>
        <u/>
        <sz val="9"/>
        <rFont val="Europe"/>
        <family val="2"/>
      </rPr>
      <t>ровных</t>
    </r>
    <r>
      <rPr>
        <sz val="9"/>
        <rFont val="Europe"/>
        <family val="2"/>
      </rPr>
      <t xml:space="preserve"> поверхностях</t>
    </r>
  </si>
  <si>
    <r>
      <t xml:space="preserve">выклейка на других </t>
    </r>
    <r>
      <rPr>
        <u/>
        <sz val="9"/>
        <rFont val="Europe"/>
        <family val="2"/>
      </rPr>
      <t>ровных</t>
    </r>
    <r>
      <rPr>
        <sz val="9"/>
        <rFont val="Europe"/>
        <family val="2"/>
      </rPr>
      <t xml:space="preserve"> поверхностях </t>
    </r>
    <r>
      <rPr>
        <sz val="8"/>
        <rFont val="Europe"/>
        <family val="2"/>
      </rPr>
      <t>(без стоимости материала)</t>
    </r>
  </si>
  <si>
    <r>
      <t>м</t>
    </r>
    <r>
      <rPr>
        <b/>
        <vertAlign val="superscript"/>
        <sz val="8"/>
        <rFont val="Europe"/>
        <family val="2"/>
      </rPr>
      <t>2</t>
    </r>
  </si>
  <si>
    <t>ед.</t>
  </si>
  <si>
    <t>выклейка по кузову АВТОМОБИЛЯ</t>
  </si>
  <si>
    <r>
      <t xml:space="preserve">выклейка по кузову АВТОМОБИЛЯ </t>
    </r>
    <r>
      <rPr>
        <sz val="8"/>
        <rFont val="Europe"/>
        <family val="2"/>
      </rPr>
      <t>(без стоимости материала)</t>
    </r>
  </si>
  <si>
    <t>до 5 ед.</t>
  </si>
  <si>
    <t>spark</t>
  </si>
  <si>
    <t>ГАЗель</t>
  </si>
  <si>
    <t>damas</t>
  </si>
  <si>
    <t>со стоим. мат.</t>
  </si>
  <si>
    <t>АВТОМОБИЛИ</t>
  </si>
  <si>
    <t>выклейка кузова</t>
  </si>
  <si>
    <t>Оргстекло + аллюм. профиль</t>
  </si>
  <si>
    <t>Оргстекло + ФомЭкс</t>
  </si>
  <si>
    <t>стор.</t>
  </si>
  <si>
    <t>2 стор.</t>
  </si>
  <si>
    <t>Баннерные (дерев. каркас + обшив. алюпан)</t>
  </si>
  <si>
    <r>
      <t>цена за1м</t>
    </r>
    <r>
      <rPr>
        <vertAlign val="superscript"/>
        <sz val="8"/>
        <rFont val="Europe"/>
        <family val="2"/>
      </rPr>
      <t>2</t>
    </r>
  </si>
  <si>
    <r>
      <t xml:space="preserve">!!!  Работа </t>
    </r>
    <r>
      <rPr>
        <b/>
        <i/>
        <u/>
        <sz val="8"/>
        <rFont val="Europe"/>
        <family val="2"/>
      </rPr>
      <t>дизайнера</t>
    </r>
    <r>
      <rPr>
        <b/>
        <i/>
        <sz val="8"/>
        <rFont val="Europe"/>
        <family val="2"/>
      </rPr>
      <t xml:space="preserve"> оплачивается дополнительно</t>
    </r>
  </si>
  <si>
    <t>Планшет алюкопан + кармашки</t>
  </si>
  <si>
    <t>ШТЕНДЕРЫ 120*80см</t>
  </si>
  <si>
    <t>цена за1ед.</t>
  </si>
  <si>
    <t>СТЕНДЫ настенные</t>
  </si>
  <si>
    <t>1 стор.</t>
  </si>
  <si>
    <t>Баннер на дерев. каркасе c ДВП + кармашки</t>
  </si>
  <si>
    <r>
      <t xml:space="preserve">Баннер на дерев. каркасе + </t>
    </r>
    <r>
      <rPr>
        <sz val="9"/>
        <rFont val="Europe"/>
        <family val="2"/>
      </rPr>
      <t>кармашки</t>
    </r>
  </si>
  <si>
    <t>пристройка дерев. ножек</t>
  </si>
  <si>
    <r>
      <t>за1м</t>
    </r>
    <r>
      <rPr>
        <vertAlign val="superscript"/>
        <sz val="8"/>
        <rFont val="Europe"/>
        <family val="2"/>
      </rPr>
      <t>2</t>
    </r>
  </si>
  <si>
    <r>
      <t xml:space="preserve">Металл. Труба + баннер с люверсами </t>
    </r>
    <r>
      <rPr>
        <sz val="8"/>
        <rFont val="Europe"/>
        <family val="2"/>
      </rPr>
      <t>(раскладной)</t>
    </r>
  </si>
  <si>
    <r>
      <t xml:space="preserve">Металл. Труба + баннер с люверсами </t>
    </r>
    <r>
      <rPr>
        <sz val="8"/>
        <rFont val="Europe"/>
        <family val="2"/>
      </rPr>
      <t>(</t>
    </r>
    <r>
      <rPr>
        <b/>
        <sz val="8"/>
        <rFont val="Europe"/>
        <family val="2"/>
      </rPr>
      <t>Т</t>
    </r>
    <r>
      <rPr>
        <sz val="8"/>
        <rFont val="Europe"/>
        <family val="2"/>
      </rPr>
      <t>-образный)</t>
    </r>
  </si>
  <si>
    <r>
      <t xml:space="preserve">Баннер на дерев. каркасе </t>
    </r>
    <r>
      <rPr>
        <sz val="8"/>
        <rFont val="Europe"/>
        <family val="2"/>
      </rPr>
      <t xml:space="preserve">(раскладной, </t>
    </r>
    <r>
      <rPr>
        <b/>
        <sz val="8"/>
        <rFont val="Europe"/>
        <family val="2"/>
      </rPr>
      <t>Т</t>
    </r>
    <r>
      <rPr>
        <sz val="8"/>
        <rFont val="Europe"/>
        <family val="2"/>
      </rPr>
      <t>-образный)</t>
    </r>
  </si>
  <si>
    <r>
      <t xml:space="preserve">Баннер на дерев. каркасе c ДВП  </t>
    </r>
    <r>
      <rPr>
        <sz val="8"/>
        <rFont val="Europe"/>
        <family val="2"/>
      </rPr>
      <t xml:space="preserve">(раскладной, </t>
    </r>
    <r>
      <rPr>
        <b/>
        <sz val="8"/>
        <rFont val="Europe"/>
        <family val="2"/>
      </rPr>
      <t>Т</t>
    </r>
    <r>
      <rPr>
        <sz val="8"/>
        <rFont val="Europe"/>
        <family val="2"/>
      </rPr>
      <t>-образный)</t>
    </r>
  </si>
  <si>
    <r>
      <t xml:space="preserve">Металл. Труба + алюкопан </t>
    </r>
    <r>
      <rPr>
        <sz val="8"/>
        <rFont val="Europe"/>
        <family val="2"/>
      </rPr>
      <t>(</t>
    </r>
    <r>
      <rPr>
        <b/>
        <sz val="8"/>
        <rFont val="Europe"/>
        <family val="2"/>
      </rPr>
      <t>Т</t>
    </r>
    <r>
      <rPr>
        <sz val="8"/>
        <rFont val="Europe"/>
        <family val="2"/>
      </rPr>
      <t>-образный)</t>
    </r>
  </si>
  <si>
    <r>
      <t xml:space="preserve">Металл. Труба + алюкопан </t>
    </r>
    <r>
      <rPr>
        <sz val="8"/>
        <rFont val="Europe"/>
        <family val="2"/>
      </rPr>
      <t>(раскладной)</t>
    </r>
  </si>
  <si>
    <t>ДИЗАЙН НАРУЖКИ</t>
  </si>
  <si>
    <t>Баннерные вывески, витражи</t>
  </si>
  <si>
    <t>Стенды, информационные доски, штендеры, световые короба</t>
  </si>
  <si>
    <t>Визитки</t>
  </si>
  <si>
    <t>Предпечатная подготовка предоставленных файлов</t>
  </si>
  <si>
    <t>за 1 имидж</t>
  </si>
  <si>
    <t>3-D макетирование выставочного инвентаря</t>
  </si>
  <si>
    <t>за 1 объект</t>
  </si>
  <si>
    <t>Паучки, Roll Up</t>
  </si>
  <si>
    <t>3-D дизайн выставочной площади</t>
  </si>
  <si>
    <r>
      <t>за 1 м</t>
    </r>
    <r>
      <rPr>
        <vertAlign val="superscript"/>
        <sz val="8"/>
        <rFont val="Europe"/>
        <family val="2"/>
      </rPr>
      <t>2</t>
    </r>
  </si>
  <si>
    <t>ДИЗАЙН УПАКОВКИ</t>
  </si>
  <si>
    <t>3-D макетирование в комплексе</t>
  </si>
  <si>
    <t>Разработка дизайна отдельных сторон упаковки</t>
  </si>
  <si>
    <t>!!!  Монтажные работы оплачиваются дополнительно</t>
  </si>
  <si>
    <t>!!!   Монтажные работы оплачиваются дополнительно</t>
  </si>
  <si>
    <t>Бегущая строка в 1 цвет (китай)</t>
  </si>
  <si>
    <t>стоимость 1-го блока 32х16см</t>
  </si>
  <si>
    <t>ПсевдоОБЪЕМНЫЕ БУКВЫ</t>
  </si>
  <si>
    <t>ОБЪЕМНЫЕ БУКВЫ</t>
  </si>
  <si>
    <t>ОБЪЕМНЫЕ БУКВЫ с подсветкой (светодиоды)</t>
  </si>
  <si>
    <t>ФомЭкс №8 + оракал</t>
  </si>
  <si>
    <t>светодиодная подсветка</t>
  </si>
  <si>
    <r>
      <t>коэфициент наценки при размере до 1м</t>
    </r>
    <r>
      <rPr>
        <b/>
        <vertAlign val="superscript"/>
        <sz val="9"/>
        <rFont val="Europe"/>
        <family val="2"/>
      </rPr>
      <t>2</t>
    </r>
  </si>
  <si>
    <t>оракал MESH (сетка)</t>
  </si>
  <si>
    <r>
      <rPr>
        <sz val="8.5"/>
        <rFont val="EuropeDemi"/>
        <charset val="204"/>
      </rPr>
      <t>выклейка ВИТРАЖНЫХ ОКОН</t>
    </r>
    <r>
      <rPr>
        <sz val="8.5"/>
        <rFont val="Europe_Ext"/>
      </rPr>
      <t xml:space="preserve"> </t>
    </r>
    <r>
      <rPr>
        <sz val="8.5"/>
        <rFont val="Europe"/>
        <family val="2"/>
      </rPr>
      <t>(MESH)</t>
    </r>
  </si>
  <si>
    <r>
      <t xml:space="preserve">Рекламное агентство </t>
    </r>
    <r>
      <rPr>
        <b/>
        <i/>
        <sz val="8"/>
        <rFont val="Europe"/>
        <family val="2"/>
      </rPr>
      <t>"VITA-Sign"</t>
    </r>
    <r>
      <rPr>
        <i/>
        <sz val="8"/>
        <rFont val="Europe"/>
        <family val="2"/>
      </rPr>
      <t xml:space="preserve">. Головной офис: Республика Узбекистан, г.Ташкент, ул. Мукими, 1проезд,7, тел.: 253-68-02, e-mail: vita-sign@mail.ru; </t>
    </r>
    <r>
      <rPr>
        <b/>
        <i/>
        <sz val="8"/>
        <rFont val="Europe"/>
        <family val="2"/>
      </rPr>
      <t>www\\uz-reklama.uz</t>
    </r>
  </si>
  <si>
    <t>аренда</t>
  </si>
  <si>
    <t>цена за единицу</t>
  </si>
  <si>
    <t>1 ед.</t>
  </si>
  <si>
    <t>ВЫСТАВОЧНЫЙ ИНВЕНТАРЬ</t>
  </si>
  <si>
    <t>Паучки 160х60см</t>
  </si>
  <si>
    <t>Паучки 180х80см</t>
  </si>
  <si>
    <t>Reception стандарт 100х100х40см (ЛДСП, стекло №10)</t>
  </si>
  <si>
    <t>Холдеры под полиграфию напольные (ЛДСП)</t>
  </si>
  <si>
    <t>Ферменный конструктор</t>
  </si>
  <si>
    <t>за 1 модуль</t>
  </si>
  <si>
    <t>стоимость по дизайну</t>
  </si>
  <si>
    <t>цена за 1ед</t>
  </si>
  <si>
    <t>POS материал</t>
  </si>
  <si>
    <t>Визитные карты 5х9 (300гр.)</t>
  </si>
  <si>
    <t>Буклеты А4 (150гр.)</t>
  </si>
  <si>
    <t>Лефлеты А4 (150гр.)</t>
  </si>
  <si>
    <t>Флаеры А4/3 (120гр.)</t>
  </si>
  <si>
    <t>Флаеры А4 (120гр.)</t>
  </si>
  <si>
    <t>Плакаты настенные А3 (150гр.)</t>
  </si>
  <si>
    <t>Папки фирменные с карманом</t>
  </si>
  <si>
    <t>Бланки фирменные А4 (110гр.)</t>
  </si>
  <si>
    <t>Ручки автоматические с логотипом</t>
  </si>
  <si>
    <t>Блокноты А6 с логотипом (50стр.)</t>
  </si>
  <si>
    <t>min 180шт.</t>
  </si>
  <si>
    <t>min 50шт.</t>
  </si>
  <si>
    <t>min 100шт.</t>
  </si>
  <si>
    <t>НОВОГОДНЕЕ ОФОРМЛЕНИЕ</t>
  </si>
  <si>
    <r>
      <t>за 1м</t>
    </r>
    <r>
      <rPr>
        <vertAlign val="superscript"/>
        <sz val="8"/>
        <rFont val="Europe"/>
        <family val="2"/>
      </rPr>
      <t>2</t>
    </r>
  </si>
  <si>
    <t>Дюралайт</t>
  </si>
  <si>
    <t>Олени каркасные двухмерные (дюралайт)</t>
  </si>
  <si>
    <t>за единицу</t>
  </si>
  <si>
    <t>Снежинки, звездочки из ФомЭкса 150х150мм (белые)</t>
  </si>
  <si>
    <t>Снежинки, звездочки из ФомЭкса 150х150мм (золото, никель)</t>
  </si>
  <si>
    <t>!!!   Электро Монтажные работы оплачиваются дополнительно!</t>
  </si>
  <si>
    <t>Витражные окна - наклейки</t>
  </si>
  <si>
    <t>Другие формы, объекты</t>
  </si>
  <si>
    <t>Новогоднее оформление</t>
  </si>
  <si>
    <t>1 форма</t>
  </si>
  <si>
    <t>Pop Up 350х230см</t>
  </si>
  <si>
    <t>Холдеры под полиграфию А4 напольные металл. 160х280см</t>
  </si>
  <si>
    <t>Reception стандарт 100х90х40см (ЛДСП, обклад ФомЭкс)</t>
  </si>
  <si>
    <t>ДИЗАЙН ВЫСТАВОЧНЫЙ, ИНТЕРЬЕРНЫЙ</t>
  </si>
  <si>
    <t>… для оформления интерьера</t>
  </si>
  <si>
    <r>
      <t>Табличка латунь (</t>
    </r>
    <r>
      <rPr>
        <b/>
        <sz val="10"/>
        <rFont val="Europe"/>
        <family val="2"/>
      </rPr>
      <t>цена за см</t>
    </r>
    <r>
      <rPr>
        <b/>
        <vertAlign val="superscript"/>
        <sz val="10"/>
        <rFont val="Europe"/>
        <family val="2"/>
      </rPr>
      <t>2</t>
    </r>
    <r>
      <rPr>
        <sz val="10"/>
        <rFont val="Europe"/>
        <family val="2"/>
      </rPr>
      <t>)</t>
    </r>
  </si>
  <si>
    <t>Табличка с гравировкой (двуслой пластик)</t>
  </si>
  <si>
    <r>
      <t xml:space="preserve">Экосольвентная печать </t>
    </r>
    <r>
      <rPr>
        <b/>
        <u/>
        <sz val="10"/>
        <rFont val="Europe"/>
        <family val="2"/>
      </rPr>
      <t>с высоким разрешением</t>
    </r>
  </si>
  <si>
    <r>
      <t xml:space="preserve">!!!  Работа </t>
    </r>
    <r>
      <rPr>
        <b/>
        <i/>
        <u/>
        <sz val="8"/>
        <rFont val="Europe"/>
        <charset val="204"/>
      </rPr>
      <t>дизайнера</t>
    </r>
    <r>
      <rPr>
        <b/>
        <i/>
        <sz val="8"/>
        <rFont val="Europe"/>
        <charset val="204"/>
      </rPr>
      <t xml:space="preserve"> оплачивается дополнительно</t>
    </r>
  </si>
  <si>
    <t>из баннера (дерево брус 3х4см)</t>
  </si>
  <si>
    <r>
      <t xml:space="preserve">акрил </t>
    </r>
    <r>
      <rPr>
        <sz val="9"/>
        <color rgb="FFFF0000"/>
        <rFont val="Europe"/>
        <family val="2"/>
      </rPr>
      <t>+ пенорезина</t>
    </r>
    <r>
      <rPr>
        <sz val="10"/>
        <color rgb="FFFF0000"/>
        <rFont val="Europe"/>
        <family val="2"/>
      </rPr>
      <t xml:space="preserve"> </t>
    </r>
    <r>
      <rPr>
        <b/>
        <sz val="10"/>
        <color rgb="FFFF0000"/>
        <rFont val="Europe"/>
        <family val="2"/>
      </rPr>
      <t>-2</t>
    </r>
  </si>
  <si>
    <r>
      <t xml:space="preserve">акрил </t>
    </r>
    <r>
      <rPr>
        <sz val="9"/>
        <color rgb="FFFF0000"/>
        <rFont val="Europe"/>
        <family val="2"/>
      </rPr>
      <t xml:space="preserve">+ пенорезина </t>
    </r>
    <r>
      <rPr>
        <b/>
        <sz val="9"/>
        <color rgb="FFFF0000"/>
        <rFont val="Europe"/>
        <family val="2"/>
      </rPr>
      <t>-3</t>
    </r>
  </si>
  <si>
    <r>
      <t xml:space="preserve">акрил </t>
    </r>
    <r>
      <rPr>
        <sz val="9"/>
        <color rgb="FFFF0000"/>
        <rFont val="Europe"/>
        <family val="2"/>
      </rPr>
      <t xml:space="preserve">+ пенорезина </t>
    </r>
    <r>
      <rPr>
        <b/>
        <sz val="9"/>
        <color rgb="FFFF0000"/>
        <rFont val="Europe"/>
        <family val="2"/>
      </rPr>
      <t>-5</t>
    </r>
  </si>
  <si>
    <r>
      <t xml:space="preserve">Широкоформатная печать </t>
    </r>
    <r>
      <rPr>
        <b/>
        <u/>
        <sz val="10"/>
        <rFont val="Europe"/>
        <family val="2"/>
      </rPr>
      <t>до 200 dpi</t>
    </r>
  </si>
  <si>
    <t>Roll Up 197х79см + экосольвентная печать до1440dpi</t>
  </si>
  <si>
    <t>Roll Up 197х79см + баннерное панно   до200dpi</t>
  </si>
  <si>
    <t>баннер</t>
  </si>
  <si>
    <t>backprint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</si>
</sst>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[$-419]mmmm\ yyyy;@"/>
    <numFmt numFmtId="165" formatCode="#,##0.0_ ;\-#,##0.0\ "/>
  </numFmts>
  <fonts count="43">
    <font>
      <sz val="10"/>
      <name val="Arial Cyr"/>
      <charset val="204"/>
    </font>
    <font>
      <sz val="10"/>
      <name val="Europe"/>
      <family val="2"/>
    </font>
    <font>
      <sz val="8"/>
      <name val="Europe"/>
      <family val="2"/>
    </font>
    <font>
      <i/>
      <sz val="8"/>
      <name val="Europe"/>
      <family val="2"/>
    </font>
    <font>
      <b/>
      <sz val="8"/>
      <name val="Europe"/>
      <family val="2"/>
    </font>
    <font>
      <b/>
      <i/>
      <sz val="8"/>
      <name val="Europe"/>
      <family val="2"/>
    </font>
    <font>
      <b/>
      <sz val="9"/>
      <name val="Europe"/>
      <family val="2"/>
    </font>
    <font>
      <b/>
      <i/>
      <sz val="10"/>
      <name val="Europe"/>
      <family val="2"/>
    </font>
    <font>
      <b/>
      <sz val="10"/>
      <name val="Europe"/>
      <family val="2"/>
    </font>
    <font>
      <vertAlign val="superscript"/>
      <sz val="10"/>
      <name val="Europe"/>
      <family val="2"/>
    </font>
    <font>
      <b/>
      <vertAlign val="superscript"/>
      <sz val="10"/>
      <name val="Europe"/>
      <family val="2"/>
    </font>
    <font>
      <b/>
      <vertAlign val="superscript"/>
      <sz val="9"/>
      <name val="Europe"/>
      <family val="2"/>
    </font>
    <font>
      <b/>
      <i/>
      <sz val="9"/>
      <name val="Europe"/>
      <family val="2"/>
    </font>
    <font>
      <sz val="9"/>
      <name val="Europe"/>
      <family val="2"/>
    </font>
    <font>
      <i/>
      <vertAlign val="superscript"/>
      <sz val="8"/>
      <name val="Europe"/>
      <family val="2"/>
    </font>
    <font>
      <b/>
      <u/>
      <sz val="10"/>
      <name val="Europe"/>
      <family val="2"/>
    </font>
    <font>
      <b/>
      <vertAlign val="superscript"/>
      <sz val="8"/>
      <name val="Europe"/>
      <family val="2"/>
    </font>
    <font>
      <u/>
      <sz val="9"/>
      <name val="Europe"/>
      <family val="2"/>
    </font>
    <font>
      <u/>
      <sz val="10"/>
      <name val="Europe"/>
      <family val="2"/>
    </font>
    <font>
      <vertAlign val="superscript"/>
      <sz val="8"/>
      <name val="Europe"/>
      <family val="2"/>
    </font>
    <font>
      <b/>
      <i/>
      <u/>
      <sz val="8"/>
      <name val="Europe"/>
      <family val="2"/>
    </font>
    <font>
      <sz val="8.5"/>
      <name val="Europe"/>
      <family val="2"/>
    </font>
    <font>
      <b/>
      <sz val="8"/>
      <name val="Europe"/>
      <family val="2"/>
    </font>
    <font>
      <b/>
      <sz val="9"/>
      <name val="Europe"/>
      <family val="2"/>
    </font>
    <font>
      <sz val="10"/>
      <name val="Europe"/>
      <family val="2"/>
    </font>
    <font>
      <sz val="8.5"/>
      <name val="Europe"/>
      <family val="2"/>
    </font>
    <font>
      <sz val="8.5"/>
      <name val="EuropeDemi"/>
      <charset val="204"/>
    </font>
    <font>
      <sz val="8.5"/>
      <name val="Europe_Ext"/>
    </font>
    <font>
      <b/>
      <i/>
      <sz val="8"/>
      <name val="Europe"/>
      <family val="2"/>
    </font>
    <font>
      <i/>
      <sz val="8"/>
      <name val="Europe"/>
      <family val="2"/>
    </font>
    <font>
      <sz val="8"/>
      <name val="Europe"/>
      <family val="2"/>
    </font>
    <font>
      <b/>
      <sz val="10"/>
      <name val="Europe"/>
      <family val="2"/>
    </font>
    <font>
      <i/>
      <sz val="10"/>
      <name val="EuroStyleDiai"/>
      <family val="1"/>
      <charset val="204"/>
    </font>
    <font>
      <b/>
      <i/>
      <sz val="8"/>
      <name val="Europe"/>
      <charset val="204"/>
    </font>
    <font>
      <b/>
      <i/>
      <sz val="10"/>
      <name val="Europe"/>
      <charset val="204"/>
    </font>
    <font>
      <b/>
      <i/>
      <u/>
      <sz val="8"/>
      <name val="Europe"/>
      <charset val="204"/>
    </font>
    <font>
      <sz val="10"/>
      <color rgb="FFFF0000"/>
      <name val="Europe"/>
      <family val="2"/>
    </font>
    <font>
      <sz val="9"/>
      <color rgb="FFFF0000"/>
      <name val="Europe"/>
      <family val="2"/>
    </font>
    <font>
      <b/>
      <sz val="10"/>
      <color rgb="FFFF0000"/>
      <name val="Europe"/>
      <family val="2"/>
    </font>
    <font>
      <b/>
      <sz val="9"/>
      <color rgb="FFFF0000"/>
      <name val="Europe"/>
      <family val="2"/>
    </font>
    <font>
      <b/>
      <i/>
      <sz val="8"/>
      <color rgb="FFFF0000"/>
      <name val="Europe"/>
      <family val="2"/>
    </font>
    <font>
      <sz val="8"/>
      <color rgb="FFFF0000"/>
      <name val="Europe"/>
      <family val="2"/>
    </font>
    <font>
      <b/>
      <sz val="8"/>
      <name val="Europe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41" fontId="5" fillId="0" borderId="3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9" fontId="7" fillId="0" borderId="0" xfId="0" applyNumberFormat="1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9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164" fontId="7" fillId="0" borderId="0" xfId="0" applyNumberFormat="1" applyFont="1" applyAlignment="1" applyProtection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1" fontId="2" fillId="0" borderId="1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41" fontId="4" fillId="0" borderId="11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2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41" fontId="6" fillId="0" borderId="13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" fillId="0" borderId="1" xfId="0" applyFont="1" applyBorder="1"/>
    <xf numFmtId="0" fontId="12" fillId="0" borderId="0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1" fillId="0" borderId="8" xfId="0" applyFont="1" applyBorder="1"/>
    <xf numFmtId="41" fontId="2" fillId="0" borderId="13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1" fillId="0" borderId="8" xfId="0" applyFont="1" applyBorder="1"/>
    <xf numFmtId="0" fontId="31" fillId="0" borderId="0" xfId="0" applyFont="1"/>
    <xf numFmtId="0" fontId="32" fillId="0" borderId="8" xfId="0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/>
    <xf numFmtId="9" fontId="34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6" fillId="0" borderId="4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41" fontId="40" fillId="0" borderId="3" xfId="0" applyNumberFormat="1" applyFont="1" applyFill="1" applyBorder="1" applyAlignment="1" applyProtection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42" fillId="0" borderId="0" xfId="0" applyNumberFormat="1" applyFont="1" applyAlignment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4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7" fillId="0" borderId="0" xfId="0" applyNumberFormat="1" applyFont="1" applyAlignment="1" applyProtection="1">
      <alignment horizontal="right" vertical="center" wrapText="1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41" fontId="41" fillId="0" borderId="6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33" fillId="0" borderId="0" xfId="0" applyFont="1" applyAlignment="1" applyProtection="1">
      <alignment horizontal="left" vertical="center" wrapText="1"/>
    </xf>
    <xf numFmtId="9" fontId="12" fillId="0" borderId="4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3" fillId="0" borderId="0" xfId="0" applyFont="1"/>
    <xf numFmtId="0" fontId="33" fillId="0" borderId="12" xfId="0" applyFont="1" applyBorder="1"/>
    <xf numFmtId="9" fontId="7" fillId="0" borderId="4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1" fontId="4" fillId="0" borderId="6" xfId="0" applyNumberFormat="1" applyFont="1" applyBorder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41" fontId="2" fillId="0" borderId="19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41" fontId="6" fillId="0" borderId="4" xfId="0" applyNumberFormat="1" applyFont="1" applyBorder="1" applyAlignment="1">
      <alignment horizontal="center" vertical="center"/>
    </xf>
    <xf numFmtId="41" fontId="6" fillId="0" borderId="6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1" fontId="2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/>
    <xf numFmtId="0" fontId="4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41" fontId="4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1</xdr:col>
      <xdr:colOff>495300</xdr:colOff>
      <xdr:row>0</xdr:row>
      <xdr:rowOff>428625</xdr:rowOff>
    </xdr:to>
    <xdr:pic>
      <xdr:nvPicPr>
        <xdr:cNvPr id="16411" name="Picture 1" descr="VI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62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1</xdr:col>
      <xdr:colOff>495300</xdr:colOff>
      <xdr:row>0</xdr:row>
      <xdr:rowOff>428625</xdr:rowOff>
    </xdr:to>
    <xdr:pic>
      <xdr:nvPicPr>
        <xdr:cNvPr id="2" name="Picture 1" descr="VI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62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1</xdr:col>
      <xdr:colOff>495300</xdr:colOff>
      <xdr:row>0</xdr:row>
      <xdr:rowOff>428625</xdr:rowOff>
    </xdr:to>
    <xdr:pic>
      <xdr:nvPicPr>
        <xdr:cNvPr id="2" name="Picture 1" descr="VI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62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1</xdr:col>
      <xdr:colOff>495300</xdr:colOff>
      <xdr:row>0</xdr:row>
      <xdr:rowOff>428625</xdr:rowOff>
    </xdr:to>
    <xdr:pic>
      <xdr:nvPicPr>
        <xdr:cNvPr id="2" name="Picture 1" descr="VI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62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1</xdr:col>
      <xdr:colOff>495300</xdr:colOff>
      <xdr:row>0</xdr:row>
      <xdr:rowOff>428625</xdr:rowOff>
    </xdr:to>
    <xdr:pic>
      <xdr:nvPicPr>
        <xdr:cNvPr id="2" name="Picture 1" descr="VI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62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showGridLines="0" tabSelected="1" view="pageBreakPreview" topLeftCell="A4" zoomScale="115" zoomScaleSheetLayoutView="115" workbookViewId="0">
      <selection activeCell="D23" sqref="D23"/>
    </sheetView>
  </sheetViews>
  <sheetFormatPr defaultRowHeight="12.75"/>
  <cols>
    <col min="1" max="1" width="3.85546875" style="6" customWidth="1"/>
    <col min="2" max="2" width="9.140625" style="6"/>
    <col min="3" max="3" width="12.7109375" style="6" customWidth="1"/>
    <col min="4" max="4" width="10.28515625" style="6" customWidth="1"/>
    <col min="5" max="5" width="5.7109375" style="6" customWidth="1"/>
    <col min="6" max="6" width="4.7109375" style="6" customWidth="1"/>
    <col min="7" max="7" width="5.7109375" style="6" customWidth="1"/>
    <col min="8" max="8" width="4.7109375" style="6" customWidth="1"/>
    <col min="9" max="9" width="5.7109375" style="6" customWidth="1"/>
    <col min="10" max="10" width="4.7109375" style="6" customWidth="1"/>
    <col min="11" max="11" width="5.7109375" style="6" customWidth="1"/>
    <col min="12" max="12" width="4.7109375" style="6" customWidth="1"/>
    <col min="13" max="13" width="5.7109375" style="6" customWidth="1"/>
    <col min="14" max="14" width="4.7109375" style="6" customWidth="1"/>
    <col min="15" max="16384" width="9.140625" style="6"/>
  </cols>
  <sheetData>
    <row r="1" spans="1:16" ht="42.75" customHeight="1">
      <c r="C1" s="89" t="s">
        <v>109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6">
      <c r="C2" s="98" t="s">
        <v>97</v>
      </c>
      <c r="D2" s="98"/>
      <c r="E2" s="98"/>
      <c r="F2" s="98"/>
      <c r="G2" s="98"/>
      <c r="H2" s="98"/>
      <c r="I2" s="98"/>
      <c r="J2" s="98"/>
      <c r="K2" s="93">
        <v>42248</v>
      </c>
      <c r="L2" s="93"/>
      <c r="M2" s="93"/>
      <c r="N2" s="93"/>
    </row>
    <row r="3" spans="1:16" ht="13.5" thickBot="1"/>
    <row r="4" spans="1:16" ht="13.5" thickBot="1">
      <c r="D4" s="2" t="s">
        <v>17</v>
      </c>
      <c r="E4" s="3">
        <v>20</v>
      </c>
      <c r="F4" s="4" t="s">
        <v>23</v>
      </c>
      <c r="G4" s="3">
        <v>30</v>
      </c>
      <c r="H4" s="4" t="s">
        <v>23</v>
      </c>
      <c r="I4" s="3">
        <v>40</v>
      </c>
      <c r="J4" s="4" t="s">
        <v>23</v>
      </c>
      <c r="K4" s="3">
        <v>50</v>
      </c>
      <c r="L4" s="4" t="s">
        <v>23</v>
      </c>
      <c r="M4" s="3">
        <v>60</v>
      </c>
      <c r="N4" s="4" t="s">
        <v>23</v>
      </c>
      <c r="O4" s="7" t="s">
        <v>0</v>
      </c>
      <c r="P4" s="8">
        <v>6100</v>
      </c>
    </row>
    <row r="5" spans="1:16">
      <c r="D5" s="18"/>
      <c r="E5" s="99"/>
      <c r="F5" s="99"/>
      <c r="G5" s="99"/>
      <c r="H5" s="99"/>
      <c r="I5" s="99"/>
      <c r="J5" s="99"/>
      <c r="K5" s="99"/>
      <c r="L5" s="99"/>
      <c r="M5" s="99"/>
      <c r="N5" s="99"/>
      <c r="O5" s="7"/>
      <c r="P5" s="8"/>
    </row>
    <row r="6" spans="1:16" ht="15" customHeight="1">
      <c r="A6" s="9"/>
      <c r="B6" s="114" t="s">
        <v>101</v>
      </c>
      <c r="C6" s="114"/>
      <c r="D6" s="114"/>
      <c r="E6" s="8"/>
      <c r="F6" s="8"/>
      <c r="G6" s="8"/>
      <c r="H6" s="8"/>
      <c r="I6" s="8"/>
      <c r="J6" s="8"/>
      <c r="K6" s="8"/>
      <c r="L6" s="8"/>
      <c r="M6" s="8"/>
      <c r="N6" s="8"/>
      <c r="P6" s="8">
        <v>1</v>
      </c>
    </row>
    <row r="7" spans="1:16">
      <c r="A7" s="10">
        <v>1</v>
      </c>
      <c r="B7" s="96" t="s">
        <v>18</v>
      </c>
      <c r="C7" s="97"/>
      <c r="D7" s="1">
        <f>0.2*$P$4/$P$6</f>
        <v>1220</v>
      </c>
      <c r="E7" s="91">
        <f>$D7*E$4</f>
        <v>24400</v>
      </c>
      <c r="F7" s="92"/>
      <c r="G7" s="91">
        <f>$D7*G$4</f>
        <v>36600</v>
      </c>
      <c r="H7" s="92"/>
      <c r="I7" s="91">
        <f>$D7*I$4</f>
        <v>48800</v>
      </c>
      <c r="J7" s="92"/>
      <c r="K7" s="91">
        <f>$D7*K$4</f>
        <v>61000</v>
      </c>
      <c r="L7" s="92"/>
      <c r="M7" s="91">
        <f>$D7*M$4</f>
        <v>73200</v>
      </c>
      <c r="N7" s="92"/>
      <c r="O7" s="11"/>
    </row>
    <row r="8" spans="1:16">
      <c r="A8" s="10">
        <f>A7+1</f>
        <v>2</v>
      </c>
      <c r="B8" s="96" t="s">
        <v>104</v>
      </c>
      <c r="C8" s="97"/>
      <c r="D8" s="1">
        <f>0.3*$P$4/$P$6</f>
        <v>1830</v>
      </c>
      <c r="E8" s="91">
        <f>$D8*E$4</f>
        <v>36600</v>
      </c>
      <c r="F8" s="92"/>
      <c r="G8" s="91">
        <f>$D8*G$4</f>
        <v>54900</v>
      </c>
      <c r="H8" s="92"/>
      <c r="I8" s="91">
        <f>$D8*I$4</f>
        <v>73200</v>
      </c>
      <c r="J8" s="92"/>
      <c r="K8" s="91">
        <f>$D8*K$4</f>
        <v>91500</v>
      </c>
      <c r="L8" s="92"/>
      <c r="M8" s="91">
        <f>$D8*M$4</f>
        <v>109800</v>
      </c>
      <c r="N8" s="92"/>
      <c r="O8" s="11"/>
    </row>
    <row r="9" spans="1:16">
      <c r="A9" s="10">
        <f>A8+1</f>
        <v>3</v>
      </c>
      <c r="B9" s="96" t="s">
        <v>20</v>
      </c>
      <c r="C9" s="97"/>
      <c r="D9" s="1">
        <f>0.25*$P$4/$P$6</f>
        <v>1525</v>
      </c>
      <c r="E9" s="91">
        <f>$D9*E$4</f>
        <v>30500</v>
      </c>
      <c r="F9" s="92"/>
      <c r="G9" s="91">
        <f>$D9*G$4</f>
        <v>45750</v>
      </c>
      <c r="H9" s="92"/>
      <c r="I9" s="91">
        <f>$D9*I$4</f>
        <v>61000</v>
      </c>
      <c r="J9" s="92"/>
      <c r="K9" s="91">
        <f>$D9*K$4</f>
        <v>76250</v>
      </c>
      <c r="L9" s="92"/>
      <c r="M9" s="91">
        <f>$D9*M$4</f>
        <v>91500</v>
      </c>
      <c r="N9" s="92"/>
      <c r="O9" s="11"/>
    </row>
    <row r="10" spans="1:16" ht="14.25">
      <c r="A10" s="10">
        <f>A9+1</f>
        <v>4</v>
      </c>
      <c r="B10" s="94" t="s">
        <v>39</v>
      </c>
      <c r="C10" s="95"/>
      <c r="D10" s="103" t="s">
        <v>24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O10" s="13"/>
    </row>
    <row r="11" spans="1:16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ht="15" customHeight="1">
      <c r="B12" s="114" t="s">
        <v>102</v>
      </c>
      <c r="C12" s="114"/>
      <c r="D12" s="114"/>
      <c r="E12" s="114"/>
      <c r="F12" s="114"/>
      <c r="G12" s="11"/>
      <c r="H12" s="11"/>
      <c r="I12" s="11"/>
      <c r="J12" s="11"/>
      <c r="K12" s="11"/>
      <c r="L12" s="11"/>
      <c r="M12" s="11"/>
      <c r="N12" s="11"/>
      <c r="O12" s="11"/>
    </row>
    <row r="13" spans="1:16">
      <c r="A13" s="10">
        <f>A10+1</f>
        <v>5</v>
      </c>
      <c r="B13" s="96" t="s">
        <v>18</v>
      </c>
      <c r="C13" s="97"/>
      <c r="D13" s="1">
        <f>0.38*$P$4/$P$6</f>
        <v>2318</v>
      </c>
      <c r="E13" s="91">
        <f t="shared" ref="E13:E18" si="0">$D13*E$4</f>
        <v>46360</v>
      </c>
      <c r="F13" s="92"/>
      <c r="G13" s="91">
        <f t="shared" ref="G13:G18" si="1">$D13*G$4</f>
        <v>69540</v>
      </c>
      <c r="H13" s="92"/>
      <c r="I13" s="91">
        <f t="shared" ref="I13:I18" si="2">$D13*I$4</f>
        <v>92720</v>
      </c>
      <c r="J13" s="92"/>
      <c r="K13" s="91">
        <f t="shared" ref="K13:K18" si="3">$D13*K$4</f>
        <v>115900</v>
      </c>
      <c r="L13" s="92"/>
      <c r="M13" s="91">
        <f t="shared" ref="M13:M18" si="4">$D13*M$4</f>
        <v>139080</v>
      </c>
      <c r="N13" s="92"/>
      <c r="O13" s="11"/>
    </row>
    <row r="14" spans="1:16">
      <c r="A14" s="10">
        <f>A13+1</f>
        <v>6</v>
      </c>
      <c r="B14" s="96" t="s">
        <v>19</v>
      </c>
      <c r="C14" s="97"/>
      <c r="D14" s="1">
        <f>0.38*$P$4/$P$6</f>
        <v>2318</v>
      </c>
      <c r="E14" s="91">
        <f t="shared" si="0"/>
        <v>46360</v>
      </c>
      <c r="F14" s="92"/>
      <c r="G14" s="91">
        <f t="shared" si="1"/>
        <v>69540</v>
      </c>
      <c r="H14" s="92"/>
      <c r="I14" s="91">
        <f t="shared" si="2"/>
        <v>92720</v>
      </c>
      <c r="J14" s="92"/>
      <c r="K14" s="91">
        <f t="shared" si="3"/>
        <v>115900</v>
      </c>
      <c r="L14" s="92"/>
      <c r="M14" s="91">
        <f t="shared" si="4"/>
        <v>139080</v>
      </c>
      <c r="N14" s="92"/>
      <c r="O14" s="11"/>
    </row>
    <row r="15" spans="1:16">
      <c r="A15" s="10">
        <f>A14+1</f>
        <v>7</v>
      </c>
      <c r="B15" s="96" t="s">
        <v>20</v>
      </c>
      <c r="C15" s="97"/>
      <c r="D15" s="1">
        <f>0.5*$P$4/$P$6</f>
        <v>3050</v>
      </c>
      <c r="E15" s="91">
        <f t="shared" si="0"/>
        <v>61000</v>
      </c>
      <c r="F15" s="92"/>
      <c r="G15" s="91">
        <f t="shared" si="1"/>
        <v>91500</v>
      </c>
      <c r="H15" s="92"/>
      <c r="I15" s="91">
        <f t="shared" si="2"/>
        <v>122000</v>
      </c>
      <c r="J15" s="92"/>
      <c r="K15" s="91">
        <f t="shared" si="3"/>
        <v>152500</v>
      </c>
      <c r="L15" s="92"/>
      <c r="M15" s="91">
        <f t="shared" si="4"/>
        <v>183000</v>
      </c>
      <c r="N15" s="92"/>
      <c r="O15" s="11"/>
    </row>
    <row r="16" spans="1:16">
      <c r="A16" s="10">
        <f t="shared" ref="A16:A18" si="5">A15+1</f>
        <v>8</v>
      </c>
      <c r="B16" s="84" t="s">
        <v>158</v>
      </c>
      <c r="C16" s="85"/>
      <c r="D16" s="86">
        <f>0.5*$P$4/$P$6</f>
        <v>3050</v>
      </c>
      <c r="E16" s="100">
        <f t="shared" si="0"/>
        <v>61000</v>
      </c>
      <c r="F16" s="101"/>
      <c r="G16" s="100">
        <f t="shared" si="1"/>
        <v>91500</v>
      </c>
      <c r="H16" s="101"/>
      <c r="I16" s="100">
        <f t="shared" si="2"/>
        <v>122000</v>
      </c>
      <c r="J16" s="101"/>
      <c r="K16" s="100">
        <f t="shared" si="3"/>
        <v>152500</v>
      </c>
      <c r="L16" s="101"/>
      <c r="M16" s="100">
        <f t="shared" si="4"/>
        <v>183000</v>
      </c>
      <c r="N16" s="101"/>
      <c r="O16" s="11"/>
    </row>
    <row r="17" spans="1:15">
      <c r="A17" s="10">
        <f t="shared" si="5"/>
        <v>9</v>
      </c>
      <c r="B17" s="84" t="s">
        <v>159</v>
      </c>
      <c r="C17" s="85"/>
      <c r="D17" s="86">
        <f>0.55*$P$4/$P$6</f>
        <v>3355.0000000000005</v>
      </c>
      <c r="E17" s="100">
        <f t="shared" si="0"/>
        <v>67100.000000000015</v>
      </c>
      <c r="F17" s="101"/>
      <c r="G17" s="100">
        <f t="shared" si="1"/>
        <v>100650.00000000001</v>
      </c>
      <c r="H17" s="101"/>
      <c r="I17" s="100">
        <f t="shared" si="2"/>
        <v>134200.00000000003</v>
      </c>
      <c r="J17" s="101"/>
      <c r="K17" s="100">
        <f t="shared" si="3"/>
        <v>167750.00000000003</v>
      </c>
      <c r="L17" s="101"/>
      <c r="M17" s="100">
        <f t="shared" si="4"/>
        <v>201300.00000000003</v>
      </c>
      <c r="N17" s="101"/>
      <c r="O17" s="11"/>
    </row>
    <row r="18" spans="1:15">
      <c r="A18" s="10">
        <f t="shared" si="5"/>
        <v>10</v>
      </c>
      <c r="B18" s="84" t="s">
        <v>160</v>
      </c>
      <c r="C18" s="85"/>
      <c r="D18" s="86">
        <f>0.65*$P$4/$P$6</f>
        <v>3965</v>
      </c>
      <c r="E18" s="100">
        <f t="shared" si="0"/>
        <v>79300</v>
      </c>
      <c r="F18" s="101"/>
      <c r="G18" s="100">
        <f t="shared" si="1"/>
        <v>118950</v>
      </c>
      <c r="H18" s="101"/>
      <c r="I18" s="100">
        <f t="shared" si="2"/>
        <v>158600</v>
      </c>
      <c r="J18" s="101"/>
      <c r="K18" s="100">
        <f t="shared" si="3"/>
        <v>198250</v>
      </c>
      <c r="L18" s="101"/>
      <c r="M18" s="100">
        <f t="shared" si="4"/>
        <v>237900</v>
      </c>
      <c r="N18" s="101"/>
      <c r="O18" s="11"/>
    </row>
    <row r="19" spans="1:15" ht="15">
      <c r="A19" s="10"/>
      <c r="B19" s="94" t="s">
        <v>38</v>
      </c>
      <c r="C19" s="95"/>
      <c r="D19" s="103" t="s">
        <v>24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5"/>
      <c r="O19" s="13"/>
    </row>
    <row r="20" spans="1:15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" customHeight="1">
      <c r="B21" s="114" t="s">
        <v>103</v>
      </c>
      <c r="C21" s="114"/>
      <c r="D21" s="114"/>
      <c r="E21" s="114"/>
      <c r="F21" s="114"/>
      <c r="G21" s="114"/>
      <c r="H21" s="11"/>
      <c r="I21" s="11"/>
      <c r="J21" s="11"/>
      <c r="K21" s="11"/>
      <c r="L21" s="11"/>
      <c r="M21" s="11"/>
      <c r="N21" s="11"/>
      <c r="O21" s="11"/>
    </row>
    <row r="22" spans="1:15">
      <c r="A22" s="10">
        <f>A18+1</f>
        <v>11</v>
      </c>
      <c r="B22" s="96" t="s">
        <v>18</v>
      </c>
      <c r="C22" s="97"/>
      <c r="D22" s="1">
        <f>0.7*$P$4/$P$6</f>
        <v>4270</v>
      </c>
      <c r="E22" s="91">
        <f>$D22*E$4</f>
        <v>85400</v>
      </c>
      <c r="F22" s="92"/>
      <c r="G22" s="91">
        <f>$D22*G$4</f>
        <v>128100</v>
      </c>
      <c r="H22" s="92"/>
      <c r="I22" s="91">
        <f>$D22*I$4</f>
        <v>170800</v>
      </c>
      <c r="J22" s="92"/>
      <c r="K22" s="91">
        <f>$D22*K$4</f>
        <v>213500</v>
      </c>
      <c r="L22" s="92"/>
      <c r="M22" s="91">
        <f>$D22*M$4</f>
        <v>256200</v>
      </c>
      <c r="N22" s="92"/>
      <c r="O22" s="11"/>
    </row>
    <row r="23" spans="1:15">
      <c r="A23" s="10">
        <f>A22+1</f>
        <v>12</v>
      </c>
      <c r="B23" s="96" t="s">
        <v>20</v>
      </c>
      <c r="C23" s="97"/>
      <c r="D23" s="1">
        <f>1*$P$4/$P$6</f>
        <v>6100</v>
      </c>
      <c r="E23" s="91">
        <f>$D23*E$4</f>
        <v>122000</v>
      </c>
      <c r="F23" s="92"/>
      <c r="G23" s="91">
        <f>$D23*G$4</f>
        <v>183000</v>
      </c>
      <c r="H23" s="92"/>
      <c r="I23" s="91">
        <f>$D23*I$4</f>
        <v>244000</v>
      </c>
      <c r="J23" s="92"/>
      <c r="K23" s="91">
        <f>$D23*K$4</f>
        <v>305000</v>
      </c>
      <c r="L23" s="92"/>
      <c r="M23" s="91">
        <f>$D23*M$4</f>
        <v>366000</v>
      </c>
      <c r="N23" s="92"/>
      <c r="O23" s="11"/>
    </row>
    <row r="24" spans="1:15" ht="15">
      <c r="A24" s="10"/>
      <c r="B24" s="94" t="s">
        <v>38</v>
      </c>
      <c r="C24" s="95"/>
      <c r="D24" s="103" t="s">
        <v>24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5"/>
      <c r="O24" s="13"/>
    </row>
    <row r="25" spans="1:1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5" customHeight="1">
      <c r="B26" s="114" t="s">
        <v>27</v>
      </c>
      <c r="C26" s="114"/>
      <c r="D26" s="114"/>
      <c r="E26" s="116" t="s">
        <v>26</v>
      </c>
      <c r="F26" s="116"/>
      <c r="G26" s="11"/>
      <c r="H26" s="11"/>
      <c r="I26" s="11"/>
      <c r="J26" s="11"/>
      <c r="K26" s="11"/>
      <c r="L26" s="11"/>
      <c r="M26" s="11"/>
      <c r="N26" s="11"/>
      <c r="O26" s="11"/>
    </row>
    <row r="27" spans="1:15">
      <c r="A27" s="10">
        <f>A23+1</f>
        <v>13</v>
      </c>
      <c r="B27" s="112" t="s">
        <v>22</v>
      </c>
      <c r="C27" s="113"/>
      <c r="D27" s="14"/>
      <c r="E27" s="91">
        <f>40*$P$4/$P$6</f>
        <v>244000</v>
      </c>
      <c r="F27" s="92"/>
      <c r="G27" s="106"/>
      <c r="H27" s="107"/>
      <c r="I27" s="107"/>
      <c r="J27" s="107"/>
      <c r="K27" s="107"/>
      <c r="L27" s="107"/>
      <c r="M27" s="107"/>
      <c r="N27" s="107"/>
      <c r="O27" s="11"/>
    </row>
    <row r="28" spans="1:15">
      <c r="A28" s="10">
        <f>A27+1</f>
        <v>14</v>
      </c>
      <c r="B28" s="112" t="s">
        <v>157</v>
      </c>
      <c r="C28" s="113"/>
      <c r="D28" s="115"/>
      <c r="E28" s="91">
        <f>7*$P$4/$P$6</f>
        <v>42700</v>
      </c>
      <c r="F28" s="92"/>
      <c r="G28" s="82"/>
      <c r="H28" s="83"/>
      <c r="I28" s="83"/>
      <c r="J28" s="83"/>
      <c r="K28" s="83"/>
      <c r="L28" s="83"/>
      <c r="M28" s="83"/>
      <c r="N28" s="83"/>
      <c r="O28" s="11"/>
    </row>
    <row r="29" spans="1:15">
      <c r="A29" s="10">
        <f t="shared" ref="A29:A30" si="6">A28+1</f>
        <v>15</v>
      </c>
      <c r="B29" s="112" t="s">
        <v>29</v>
      </c>
      <c r="C29" s="113"/>
      <c r="D29" s="115"/>
      <c r="E29" s="91">
        <f>15*$P$4/$P$6</f>
        <v>91500</v>
      </c>
      <c r="F29" s="92"/>
      <c r="G29" s="106"/>
      <c r="H29" s="107"/>
      <c r="I29" s="107"/>
      <c r="J29" s="107"/>
      <c r="K29" s="107"/>
      <c r="L29" s="107"/>
      <c r="M29" s="107"/>
      <c r="N29" s="107"/>
      <c r="O29" s="11"/>
    </row>
    <row r="30" spans="1:15">
      <c r="A30" s="10">
        <f t="shared" si="6"/>
        <v>16</v>
      </c>
      <c r="B30" s="112" t="s">
        <v>30</v>
      </c>
      <c r="C30" s="113"/>
      <c r="D30" s="115"/>
      <c r="E30" s="91">
        <f>10*$P$4/$P$6</f>
        <v>61000</v>
      </c>
      <c r="F30" s="92"/>
      <c r="G30" s="106"/>
      <c r="H30" s="107"/>
      <c r="I30" s="107"/>
      <c r="J30" s="107"/>
      <c r="K30" s="107"/>
      <c r="L30" s="107"/>
      <c r="M30" s="107"/>
      <c r="N30" s="107"/>
      <c r="O30" s="11"/>
    </row>
    <row r="31" spans="1:15">
      <c r="A31" s="10">
        <f>A30+1</f>
        <v>17</v>
      </c>
      <c r="B31" s="112" t="s">
        <v>28</v>
      </c>
      <c r="C31" s="113"/>
      <c r="D31" s="14"/>
      <c r="E31" s="91">
        <f>25*$P$4/$P$6</f>
        <v>152500</v>
      </c>
      <c r="F31" s="92"/>
      <c r="G31" s="106"/>
      <c r="H31" s="107"/>
      <c r="I31" s="107"/>
      <c r="J31" s="107"/>
      <c r="K31" s="107"/>
      <c r="L31" s="107"/>
      <c r="M31" s="107"/>
      <c r="N31" s="107"/>
      <c r="O31" s="11"/>
    </row>
    <row r="32" spans="1:15">
      <c r="B32" s="94" t="s">
        <v>21</v>
      </c>
      <c r="C32" s="95"/>
      <c r="D32" s="110" t="s">
        <v>25</v>
      </c>
      <c r="E32" s="111"/>
      <c r="F32" s="111"/>
      <c r="G32" s="17"/>
      <c r="H32" s="16"/>
      <c r="I32" s="16"/>
      <c r="J32" s="16"/>
      <c r="K32" s="16"/>
      <c r="L32" s="16"/>
      <c r="M32" s="16"/>
      <c r="N32" s="16"/>
    </row>
    <row r="33" spans="2:14"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2:14"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6" spans="2:14" ht="12.75" customHeight="1">
      <c r="B36" s="108" t="s">
        <v>31</v>
      </c>
      <c r="C36" s="109"/>
      <c r="D36" s="78" t="s">
        <v>32</v>
      </c>
      <c r="E36" s="79"/>
      <c r="F36" s="80"/>
    </row>
    <row r="37" spans="2:14" ht="12.75" customHeight="1">
      <c r="B37" s="102" t="s">
        <v>98</v>
      </c>
      <c r="C37" s="102"/>
      <c r="D37" s="102"/>
      <c r="E37" s="102"/>
      <c r="F37" s="102"/>
      <c r="G37" s="102"/>
      <c r="H37" s="5"/>
      <c r="I37" s="5"/>
    </row>
  </sheetData>
  <mergeCells count="112">
    <mergeCell ref="B24:C24"/>
    <mergeCell ref="D10:N10"/>
    <mergeCell ref="D19:N19"/>
    <mergeCell ref="B12:F12"/>
    <mergeCell ref="B21:G21"/>
    <mergeCell ref="M22:N22"/>
    <mergeCell ref="M23:N23"/>
    <mergeCell ref="I14:J14"/>
    <mergeCell ref="M31:N31"/>
    <mergeCell ref="G29:H29"/>
    <mergeCell ref="I29:J29"/>
    <mergeCell ref="K29:L29"/>
    <mergeCell ref="M29:N29"/>
    <mergeCell ref="E27:F27"/>
    <mergeCell ref="E30:F30"/>
    <mergeCell ref="G27:H27"/>
    <mergeCell ref="G30:H30"/>
    <mergeCell ref="I27:J27"/>
    <mergeCell ref="I30:J30"/>
    <mergeCell ref="K27:L27"/>
    <mergeCell ref="K30:L30"/>
    <mergeCell ref="M27:N27"/>
    <mergeCell ref="I31:J31"/>
    <mergeCell ref="E26:F26"/>
    <mergeCell ref="B6:D6"/>
    <mergeCell ref="B14:C14"/>
    <mergeCell ref="B15:C15"/>
    <mergeCell ref="B19:C19"/>
    <mergeCell ref="B22:C22"/>
    <mergeCell ref="B23:C23"/>
    <mergeCell ref="B7:C7"/>
    <mergeCell ref="B8:C8"/>
    <mergeCell ref="B9:C9"/>
    <mergeCell ref="B31:C31"/>
    <mergeCell ref="E31:F31"/>
    <mergeCell ref="B26:D26"/>
    <mergeCell ref="E29:F29"/>
    <mergeCell ref="B29:D29"/>
    <mergeCell ref="B30:D30"/>
    <mergeCell ref="B28:D28"/>
    <mergeCell ref="E28:F28"/>
    <mergeCell ref="B27:C27"/>
    <mergeCell ref="B37:G37"/>
    <mergeCell ref="E14:F14"/>
    <mergeCell ref="E15:F15"/>
    <mergeCell ref="E22:F22"/>
    <mergeCell ref="E23:F23"/>
    <mergeCell ref="D24:N24"/>
    <mergeCell ref="K23:L23"/>
    <mergeCell ref="E18:F18"/>
    <mergeCell ref="G18:H18"/>
    <mergeCell ref="I18:J18"/>
    <mergeCell ref="K18:L18"/>
    <mergeCell ref="M18:N18"/>
    <mergeCell ref="E16:F16"/>
    <mergeCell ref="G16:H16"/>
    <mergeCell ref="I16:J16"/>
    <mergeCell ref="K16:L16"/>
    <mergeCell ref="M16:N16"/>
    <mergeCell ref="I22:J22"/>
    <mergeCell ref="G31:H31"/>
    <mergeCell ref="K31:L31"/>
    <mergeCell ref="B36:C36"/>
    <mergeCell ref="B32:C32"/>
    <mergeCell ref="D32:F32"/>
    <mergeCell ref="M30:N30"/>
    <mergeCell ref="E5:F5"/>
    <mergeCell ref="G5:H5"/>
    <mergeCell ref="I5:J5"/>
    <mergeCell ref="K5:L5"/>
    <mergeCell ref="M5:N5"/>
    <mergeCell ref="M15:N15"/>
    <mergeCell ref="G23:H23"/>
    <mergeCell ref="G22:H22"/>
    <mergeCell ref="G15:H15"/>
    <mergeCell ref="G14:H14"/>
    <mergeCell ref="M9:N9"/>
    <mergeCell ref="E17:F17"/>
    <mergeCell ref="G17:H17"/>
    <mergeCell ref="I17:J17"/>
    <mergeCell ref="K17:L17"/>
    <mergeCell ref="M17:N17"/>
    <mergeCell ref="K14:L14"/>
    <mergeCell ref="M14:N14"/>
    <mergeCell ref="I15:J15"/>
    <mergeCell ref="K15:L15"/>
    <mergeCell ref="I23:J23"/>
    <mergeCell ref="K22:L22"/>
    <mergeCell ref="C1:N1"/>
    <mergeCell ref="E7:F7"/>
    <mergeCell ref="G7:H7"/>
    <mergeCell ref="I7:J7"/>
    <mergeCell ref="K7:L7"/>
    <mergeCell ref="M7:N7"/>
    <mergeCell ref="K2:N2"/>
    <mergeCell ref="B10:C10"/>
    <mergeCell ref="B13:C13"/>
    <mergeCell ref="C2:J2"/>
    <mergeCell ref="G13:H13"/>
    <mergeCell ref="I13:J13"/>
    <mergeCell ref="K13:L13"/>
    <mergeCell ref="E13:F13"/>
    <mergeCell ref="M13:N13"/>
    <mergeCell ref="E8:F8"/>
    <mergeCell ref="G8:H8"/>
    <mergeCell ref="I8:J8"/>
    <mergeCell ref="K8:L8"/>
    <mergeCell ref="M8:N8"/>
    <mergeCell ref="E9:F9"/>
    <mergeCell ref="G9:H9"/>
    <mergeCell ref="I9:J9"/>
    <mergeCell ref="K9:L9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showGridLines="0" view="pageBreakPreview" zoomScale="115" zoomScaleSheetLayoutView="115" workbookViewId="0">
      <selection activeCell="J23" sqref="J23"/>
    </sheetView>
  </sheetViews>
  <sheetFormatPr defaultRowHeight="12.75"/>
  <cols>
    <col min="1" max="1" width="3.85546875" style="6" customWidth="1"/>
    <col min="2" max="2" width="9.140625" style="6"/>
    <col min="3" max="3" width="11.28515625" style="6" customWidth="1"/>
    <col min="4" max="4" width="9.7109375" style="6" customWidth="1"/>
    <col min="5" max="5" width="5.7109375" style="6" customWidth="1"/>
    <col min="6" max="6" width="4.7109375" style="6" customWidth="1"/>
    <col min="7" max="7" width="5.7109375" style="6" customWidth="1"/>
    <col min="8" max="8" width="5.85546875" style="6" customWidth="1"/>
    <col min="9" max="9" width="7.28515625" style="6" customWidth="1"/>
    <col min="10" max="10" width="3.28515625" style="6" customWidth="1"/>
    <col min="11" max="11" width="5.42578125" style="6" customWidth="1"/>
    <col min="12" max="12" width="5.5703125" style="6" customWidth="1"/>
    <col min="13" max="14" width="5.140625" style="6" customWidth="1"/>
    <col min="15" max="16384" width="9.140625" style="6"/>
  </cols>
  <sheetData>
    <row r="1" spans="1:16" ht="42.75" customHeight="1">
      <c r="C1" s="90" t="str">
        <f>буквы!C1</f>
        <v>Рекламное агентство "VITA-Sign". Головной офис: Республика Узбекистан, г.Ташкент, ул. Мукими, 1проезд,7, тел.: 253-68-02, e-mail: vita-sign@mail.ru; www\\uz-reklama.uz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6">
      <c r="C2" s="98" t="s">
        <v>98</v>
      </c>
      <c r="D2" s="98"/>
      <c r="E2" s="98"/>
      <c r="F2" s="98"/>
      <c r="G2" s="98"/>
      <c r="H2" s="98"/>
      <c r="I2" s="98"/>
      <c r="J2" s="98"/>
      <c r="K2" s="93">
        <f>буквы!K2</f>
        <v>42248</v>
      </c>
      <c r="L2" s="93"/>
      <c r="M2" s="93"/>
      <c r="N2" s="93"/>
    </row>
    <row r="3" spans="1:16">
      <c r="C3" s="98" t="s">
        <v>67</v>
      </c>
      <c r="D3" s="98"/>
      <c r="E3" s="98"/>
      <c r="F3" s="98"/>
      <c r="G3" s="98"/>
      <c r="H3" s="98"/>
      <c r="I3" s="98"/>
      <c r="J3" s="98"/>
      <c r="K3" s="25"/>
      <c r="L3" s="25"/>
      <c r="M3" s="25"/>
      <c r="N3" s="25"/>
    </row>
    <row r="4" spans="1:16" ht="13.5" thickBot="1"/>
    <row r="5" spans="1:16" ht="13.5" thickBot="1">
      <c r="D5" s="28"/>
      <c r="E5" s="137" t="s">
        <v>76</v>
      </c>
      <c r="F5" s="138"/>
      <c r="G5" s="34" t="s">
        <v>15</v>
      </c>
      <c r="H5" s="35" t="s">
        <v>50</v>
      </c>
      <c r="I5" s="139" t="s">
        <v>43</v>
      </c>
      <c r="J5" s="140"/>
      <c r="K5" s="139" t="s">
        <v>44</v>
      </c>
      <c r="L5" s="140"/>
      <c r="M5" s="139" t="s">
        <v>45</v>
      </c>
      <c r="N5" s="140"/>
      <c r="O5" s="7" t="s">
        <v>0</v>
      </c>
      <c r="P5" s="8">
        <f>буквы!P4</f>
        <v>6100</v>
      </c>
    </row>
    <row r="6" spans="1:16">
      <c r="D6" s="18"/>
      <c r="E6" s="19"/>
      <c r="F6" s="20"/>
      <c r="G6" s="19"/>
      <c r="H6" s="20"/>
      <c r="I6" s="19"/>
      <c r="J6" s="20"/>
      <c r="K6" s="19"/>
      <c r="L6" s="20"/>
      <c r="M6" s="19"/>
      <c r="N6" s="20"/>
      <c r="O6" s="7"/>
      <c r="P6" s="8"/>
    </row>
    <row r="7" spans="1:16" ht="20.100000000000001" customHeight="1">
      <c r="A7" s="9"/>
      <c r="B7" s="114" t="s">
        <v>161</v>
      </c>
      <c r="C7" s="114"/>
      <c r="D7" s="114"/>
      <c r="E7" s="114"/>
      <c r="F7" s="114"/>
      <c r="G7" s="8"/>
      <c r="H7" s="8"/>
      <c r="I7" s="8"/>
      <c r="J7" s="8"/>
      <c r="K7" s="8"/>
      <c r="L7" s="8"/>
      <c r="M7" s="8"/>
      <c r="N7" s="8"/>
      <c r="P7" s="8">
        <f>буквы!P6</f>
        <v>1</v>
      </c>
    </row>
    <row r="8" spans="1:16" ht="15" customHeight="1">
      <c r="A8" s="10">
        <f>буквы!A31+1</f>
        <v>18</v>
      </c>
      <c r="B8" s="96" t="s">
        <v>33</v>
      </c>
      <c r="C8" s="124"/>
      <c r="D8" s="124"/>
      <c r="E8" s="124"/>
      <c r="F8" s="97"/>
      <c r="G8" s="119">
        <f>3.5*$P$5/$P$7</f>
        <v>21350</v>
      </c>
      <c r="H8" s="120"/>
      <c r="I8" s="121">
        <f>4.2*$P$5/$P$7</f>
        <v>25620</v>
      </c>
      <c r="J8" s="122"/>
      <c r="K8" s="121">
        <f>3.8*$P$5/$P$7</f>
        <v>23180</v>
      </c>
      <c r="L8" s="122"/>
      <c r="M8" s="121">
        <f>3.5*$P$5/$P$7</f>
        <v>21350</v>
      </c>
      <c r="N8" s="122"/>
      <c r="O8" s="11"/>
    </row>
    <row r="9" spans="1:16" ht="15" customHeight="1">
      <c r="A9" s="10">
        <f>A8+1</f>
        <v>19</v>
      </c>
      <c r="B9" s="96" t="s">
        <v>34</v>
      </c>
      <c r="C9" s="124"/>
      <c r="D9" s="124"/>
      <c r="E9" s="124"/>
      <c r="F9" s="97"/>
      <c r="G9" s="119">
        <f>G8+(2*$P$5/$P$7)</f>
        <v>33550</v>
      </c>
      <c r="H9" s="120"/>
      <c r="I9" s="121">
        <f>I8+(1.8*$P$5/$P$7)</f>
        <v>36600</v>
      </c>
      <c r="J9" s="122"/>
      <c r="K9" s="121">
        <f>K8+(1.5*$P$5/$P$7)</f>
        <v>32330</v>
      </c>
      <c r="L9" s="122"/>
      <c r="M9" s="121">
        <f>M8+(1.3*$P$5/$P$7)</f>
        <v>29280</v>
      </c>
      <c r="N9" s="122"/>
      <c r="O9" s="11"/>
    </row>
    <row r="10" spans="1:16" ht="15" customHeight="1">
      <c r="A10" s="10">
        <f>A9+1</f>
        <v>20</v>
      </c>
      <c r="B10" s="96" t="s">
        <v>41</v>
      </c>
      <c r="C10" s="124"/>
      <c r="D10" s="124"/>
      <c r="E10" s="124"/>
      <c r="F10" s="97"/>
      <c r="G10" s="119">
        <f>G8+(2.5*$P$5/$P$7)</f>
        <v>36600</v>
      </c>
      <c r="H10" s="120"/>
      <c r="I10" s="121">
        <f>I8+(1.5*$P$5/$P$7)</f>
        <v>34770</v>
      </c>
      <c r="J10" s="122"/>
      <c r="K10" s="121">
        <f>K8+(1.3*$P$5/$P$7)</f>
        <v>31110</v>
      </c>
      <c r="L10" s="122"/>
      <c r="M10" s="121">
        <f>M8+(1.1*$P$5/$P$7)</f>
        <v>28060</v>
      </c>
      <c r="N10" s="122"/>
      <c r="O10" s="11"/>
    </row>
    <row r="11" spans="1:16" ht="15" customHeight="1">
      <c r="A11" s="10">
        <f>A10+1</f>
        <v>21</v>
      </c>
      <c r="B11" s="96" t="s">
        <v>35</v>
      </c>
      <c r="C11" s="124"/>
      <c r="D11" s="124"/>
      <c r="E11" s="124"/>
      <c r="F11" s="97"/>
      <c r="G11" s="119">
        <f>G8+(2.5*$P$5/$P$7)</f>
        <v>36600</v>
      </c>
      <c r="H11" s="120"/>
      <c r="I11" s="121">
        <f>I8+(3.2*$P$5/$P$7)</f>
        <v>45140</v>
      </c>
      <c r="J11" s="122"/>
      <c r="K11" s="121">
        <f>K8+(3*$P$5/$P$7)</f>
        <v>41480</v>
      </c>
      <c r="L11" s="122"/>
      <c r="M11" s="121">
        <f>M8+(2.8*$P$5/$P$7)</f>
        <v>38430</v>
      </c>
      <c r="N11" s="122"/>
      <c r="O11" s="11"/>
    </row>
    <row r="12" spans="1:16" ht="22.5" customHeight="1">
      <c r="A12" s="10"/>
      <c r="B12" s="94" t="s">
        <v>21</v>
      </c>
      <c r="C12" s="141"/>
      <c r="D12" s="141"/>
      <c r="E12" s="141"/>
      <c r="F12" s="95"/>
      <c r="G12" s="142" t="s">
        <v>24</v>
      </c>
      <c r="H12" s="143"/>
      <c r="I12" s="143"/>
      <c r="J12" s="143"/>
      <c r="K12" s="143"/>
      <c r="L12" s="143"/>
      <c r="M12" s="143"/>
      <c r="N12" s="143"/>
      <c r="O12" s="11"/>
    </row>
    <row r="13" spans="1:16" ht="15" customHeight="1">
      <c r="A13" s="10">
        <f>A11+1</f>
        <v>22</v>
      </c>
      <c r="B13" s="96" t="s">
        <v>36</v>
      </c>
      <c r="C13" s="124"/>
      <c r="D13" s="124"/>
      <c r="E13" s="124"/>
      <c r="F13" s="97"/>
      <c r="G13" s="119">
        <f>7*$P$5/$P$7</f>
        <v>42700</v>
      </c>
      <c r="H13" s="120"/>
      <c r="I13" s="121">
        <f>6*$P$5/$P$7</f>
        <v>36600</v>
      </c>
      <c r="J13" s="91"/>
      <c r="K13" s="121">
        <f>5.5*$P$5/$P$7</f>
        <v>33550</v>
      </c>
      <c r="L13" s="91"/>
      <c r="M13" s="121">
        <f>5*$P$5/$P$7</f>
        <v>30500</v>
      </c>
      <c r="N13" s="122"/>
      <c r="O13" s="11"/>
    </row>
    <row r="14" spans="1:16" ht="15" customHeight="1">
      <c r="A14" s="10">
        <f>A13+1</f>
        <v>23</v>
      </c>
      <c r="B14" s="96" t="s">
        <v>37</v>
      </c>
      <c r="C14" s="124"/>
      <c r="D14" s="124"/>
      <c r="E14" s="124"/>
      <c r="F14" s="97"/>
      <c r="G14" s="119">
        <f>10*$P$5/$P$7</f>
        <v>61000</v>
      </c>
      <c r="H14" s="120"/>
      <c r="I14" s="130"/>
      <c r="J14" s="131"/>
      <c r="K14" s="130"/>
      <c r="L14" s="131"/>
      <c r="M14" s="131"/>
      <c r="N14" s="132"/>
      <c r="O14" s="11"/>
    </row>
    <row r="15" spans="1:16" ht="15" customHeight="1">
      <c r="A15" s="10">
        <f t="shared" ref="A15:A16" si="0">A14+1</f>
        <v>24</v>
      </c>
      <c r="B15" s="133" t="s">
        <v>107</v>
      </c>
      <c r="C15" s="124"/>
      <c r="D15" s="124"/>
      <c r="E15" s="124"/>
      <c r="F15" s="97"/>
      <c r="G15" s="119">
        <f>18*$P$5/$P$7</f>
        <v>109800</v>
      </c>
      <c r="H15" s="120"/>
      <c r="I15" s="121">
        <f>8*$P$5/$P$7</f>
        <v>48800</v>
      </c>
      <c r="J15" s="91"/>
      <c r="K15" s="121">
        <f>7*$P$5/$P$7</f>
        <v>42700</v>
      </c>
      <c r="L15" s="91"/>
      <c r="M15" s="121">
        <f>6.5*$P$5/$P$7</f>
        <v>39650</v>
      </c>
      <c r="N15" s="122"/>
      <c r="O15" s="11"/>
    </row>
    <row r="16" spans="1:16" ht="15" customHeight="1">
      <c r="A16" s="10">
        <f t="shared" si="0"/>
        <v>25</v>
      </c>
      <c r="B16" s="30"/>
      <c r="C16" s="117" t="s">
        <v>46</v>
      </c>
      <c r="D16" s="117"/>
      <c r="E16" s="117"/>
      <c r="F16" s="118"/>
      <c r="G16" s="119">
        <f>G13+K18</f>
        <v>56730</v>
      </c>
      <c r="H16" s="120"/>
      <c r="I16" s="121">
        <f>I13+K18</f>
        <v>50630</v>
      </c>
      <c r="J16" s="91"/>
      <c r="K16" s="121">
        <f>K13+K18</f>
        <v>47580</v>
      </c>
      <c r="L16" s="91"/>
      <c r="M16" s="121">
        <f>M13+K18</f>
        <v>44530</v>
      </c>
      <c r="N16" s="122"/>
      <c r="O16" s="11"/>
    </row>
    <row r="17" spans="1:15" ht="15" customHeight="1">
      <c r="A17" s="10">
        <f>A16+1</f>
        <v>26</v>
      </c>
      <c r="B17" s="134" t="s">
        <v>108</v>
      </c>
      <c r="C17" s="135"/>
      <c r="D17" s="135"/>
      <c r="E17" s="135"/>
      <c r="F17" s="136"/>
      <c r="G17" s="119">
        <f>G15+K18</f>
        <v>123830</v>
      </c>
      <c r="H17" s="120"/>
      <c r="I17" s="121">
        <f>I15+K18</f>
        <v>62830</v>
      </c>
      <c r="J17" s="91"/>
      <c r="K17" s="121">
        <f>K15+K18</f>
        <v>56730</v>
      </c>
      <c r="L17" s="91"/>
      <c r="M17" s="121">
        <f>M15+K18</f>
        <v>53680</v>
      </c>
      <c r="N17" s="122"/>
      <c r="O17" s="11"/>
    </row>
    <row r="18" spans="1:15" ht="15" customHeight="1">
      <c r="A18" s="10"/>
      <c r="B18" s="31"/>
      <c r="C18" s="123" t="s">
        <v>47</v>
      </c>
      <c r="D18" s="123"/>
      <c r="E18" s="123"/>
      <c r="F18" s="123"/>
      <c r="G18" s="123"/>
      <c r="H18" s="123"/>
      <c r="I18" s="123"/>
      <c r="J18" s="32"/>
      <c r="K18" s="120">
        <f>2.3*$P$5/$P$7</f>
        <v>14029.999999999998</v>
      </c>
      <c r="L18" s="120"/>
      <c r="M18" s="21" t="s">
        <v>40</v>
      </c>
      <c r="N18" s="12"/>
      <c r="O18" s="11"/>
    </row>
    <row r="19" spans="1:15" ht="15" customHeight="1">
      <c r="A19" s="10">
        <f>A17+1</f>
        <v>27</v>
      </c>
      <c r="B19" s="127" t="s">
        <v>48</v>
      </c>
      <c r="C19" s="128"/>
      <c r="D19" s="128"/>
      <c r="E19" s="128"/>
      <c r="F19" s="129"/>
      <c r="G19" s="119">
        <f>G13+K20</f>
        <v>57950</v>
      </c>
      <c r="H19" s="120"/>
      <c r="I19" s="121">
        <f>I13+K20</f>
        <v>51850</v>
      </c>
      <c r="J19" s="91"/>
      <c r="K19" s="121">
        <f>K13+K20</f>
        <v>48800</v>
      </c>
      <c r="L19" s="91"/>
      <c r="M19" s="121">
        <f>M13+K20</f>
        <v>45750</v>
      </c>
      <c r="N19" s="122"/>
      <c r="O19" s="11"/>
    </row>
    <row r="20" spans="1:15" ht="15" customHeight="1">
      <c r="A20" s="10">
        <f t="shared" ref="A20:A22" si="1">A19+1</f>
        <v>28</v>
      </c>
      <c r="B20" s="127" t="s">
        <v>49</v>
      </c>
      <c r="C20" s="128"/>
      <c r="D20" s="128"/>
      <c r="E20" s="128"/>
      <c r="F20" s="128"/>
      <c r="G20" s="128"/>
      <c r="H20" s="128"/>
      <c r="I20" s="128"/>
      <c r="J20" s="128"/>
      <c r="K20" s="120">
        <f>2.5*$P$5/$P$7</f>
        <v>15250</v>
      </c>
      <c r="L20" s="120"/>
      <c r="M20" s="21" t="s">
        <v>40</v>
      </c>
      <c r="N20" s="12"/>
      <c r="O20" s="11"/>
    </row>
    <row r="21" spans="1:15" ht="15" customHeight="1">
      <c r="A21" s="10">
        <f t="shared" si="1"/>
        <v>29</v>
      </c>
      <c r="B21" s="33"/>
      <c r="C21" s="125" t="s">
        <v>52</v>
      </c>
      <c r="D21" s="125"/>
      <c r="E21" s="125"/>
      <c r="F21" s="125"/>
      <c r="G21" s="120">
        <f>G13+J22</f>
        <v>79300</v>
      </c>
      <c r="H21" s="120"/>
      <c r="I21" s="121">
        <f>I13+J22</f>
        <v>73200</v>
      </c>
      <c r="J21" s="91"/>
      <c r="K21" s="121">
        <f>K13+J22</f>
        <v>70150</v>
      </c>
      <c r="L21" s="91"/>
      <c r="M21" s="121">
        <f>M13+J22</f>
        <v>67100</v>
      </c>
      <c r="N21" s="122"/>
      <c r="O21" s="11"/>
    </row>
    <row r="22" spans="1:15" ht="15" customHeight="1">
      <c r="A22" s="10">
        <f t="shared" si="1"/>
        <v>30</v>
      </c>
      <c r="B22" s="33"/>
      <c r="C22" s="125" t="s">
        <v>53</v>
      </c>
      <c r="D22" s="125"/>
      <c r="E22" s="125"/>
      <c r="F22" s="125"/>
      <c r="G22" s="125"/>
      <c r="H22" s="125"/>
      <c r="I22" s="125"/>
      <c r="J22" s="126">
        <f>6*$P$5/$P$7</f>
        <v>36600</v>
      </c>
      <c r="K22" s="126"/>
      <c r="L22" s="126"/>
      <c r="M22" s="21" t="s">
        <v>40</v>
      </c>
      <c r="N22" s="12"/>
      <c r="O22" s="11"/>
    </row>
    <row r="23" spans="1:1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0.100000000000001" customHeight="1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5" customHeight="1">
      <c r="B25" s="114" t="s">
        <v>155</v>
      </c>
      <c r="C25" s="114"/>
      <c r="D25" s="114"/>
      <c r="E25" s="114"/>
      <c r="F25" s="114"/>
      <c r="G25" s="114"/>
      <c r="H25" s="114"/>
      <c r="I25" s="11"/>
      <c r="J25" s="11"/>
      <c r="K25" s="11"/>
      <c r="L25" s="11"/>
      <c r="M25" s="11"/>
      <c r="N25" s="11"/>
      <c r="O25" s="11"/>
    </row>
    <row r="26" spans="1:15" ht="15" customHeight="1">
      <c r="A26" s="88">
        <f>A22+1</f>
        <v>31</v>
      </c>
      <c r="B26" s="96" t="s">
        <v>164</v>
      </c>
      <c r="C26" s="124"/>
      <c r="D26" s="124"/>
      <c r="E26" s="124"/>
      <c r="F26" s="97"/>
      <c r="G26" s="119">
        <f>10*$P$5/$P$7</f>
        <v>61000</v>
      </c>
      <c r="H26" s="120"/>
      <c r="I26" s="121">
        <f>7*$P$5/$P$7</f>
        <v>42700</v>
      </c>
      <c r="J26" s="91"/>
      <c r="K26" s="121">
        <f>6.5*$P$5/$P$7</f>
        <v>39650</v>
      </c>
      <c r="L26" s="91"/>
      <c r="M26" s="121">
        <f>6*$P$5/$P$7</f>
        <v>36600</v>
      </c>
      <c r="N26" s="122"/>
      <c r="O26" s="11"/>
    </row>
    <row r="27" spans="1:15" ht="15" customHeight="1">
      <c r="A27" s="10">
        <f>A26+1</f>
        <v>32</v>
      </c>
      <c r="B27" s="96" t="s">
        <v>165</v>
      </c>
      <c r="C27" s="124"/>
      <c r="D27" s="124"/>
      <c r="E27" s="124"/>
      <c r="F27" s="97"/>
      <c r="G27" s="119">
        <f>12*$P$5/$P$7</f>
        <v>73200</v>
      </c>
      <c r="H27" s="120"/>
      <c r="I27" s="121">
        <f>10*$P$5/$P$7</f>
        <v>61000</v>
      </c>
      <c r="J27" s="91"/>
      <c r="K27" s="121">
        <f>9*$P$5/$P$7</f>
        <v>54900</v>
      </c>
      <c r="L27" s="91"/>
      <c r="M27" s="121">
        <f>8*$P$5/$P$7</f>
        <v>48800</v>
      </c>
      <c r="N27" s="122"/>
      <c r="O27" s="11"/>
    </row>
    <row r="28" spans="1:15" ht="15" customHeight="1">
      <c r="A28" s="10">
        <f>A27+1</f>
        <v>33</v>
      </c>
      <c r="B28" s="96" t="s">
        <v>42</v>
      </c>
      <c r="C28" s="124"/>
      <c r="D28" s="124"/>
      <c r="E28" s="124"/>
      <c r="F28" s="97"/>
      <c r="G28" s="119">
        <f>16*$P$5/$P$7</f>
        <v>97600</v>
      </c>
      <c r="H28" s="120"/>
      <c r="I28" s="121">
        <f>11.5*$P$5/$P$7</f>
        <v>70150</v>
      </c>
      <c r="J28" s="91"/>
      <c r="K28" s="121">
        <f>10.5*$P$5/$P$7</f>
        <v>64050</v>
      </c>
      <c r="L28" s="91"/>
      <c r="M28" s="121">
        <f>9.5*$P$5/$P$7</f>
        <v>57950</v>
      </c>
      <c r="N28" s="122"/>
      <c r="O28" s="11"/>
    </row>
    <row r="29" spans="1:15" ht="6.75" customHeight="1">
      <c r="B29" s="87"/>
      <c r="C29" s="87"/>
      <c r="D29" s="87"/>
      <c r="E29" s="87"/>
      <c r="F29" s="87"/>
      <c r="G29" s="87"/>
      <c r="H29" s="87"/>
      <c r="I29" s="11"/>
      <c r="J29" s="11"/>
      <c r="K29" s="11"/>
      <c r="L29" s="11"/>
      <c r="M29" s="11"/>
      <c r="N29" s="11"/>
      <c r="O29" s="11"/>
    </row>
    <row r="30" spans="1:15" ht="15" customHeight="1">
      <c r="A30" s="10">
        <f>A28+1</f>
        <v>34</v>
      </c>
      <c r="B30" s="96" t="s">
        <v>36</v>
      </c>
      <c r="C30" s="124"/>
      <c r="D30" s="124"/>
      <c r="E30" s="124"/>
      <c r="F30" s="97"/>
      <c r="G30" s="119">
        <f>11*$P$5/$P$7</f>
        <v>67100</v>
      </c>
      <c r="H30" s="120"/>
      <c r="I30" s="121">
        <f>9.5*$P$5/$P$7</f>
        <v>57950</v>
      </c>
      <c r="J30" s="91"/>
      <c r="K30" s="121">
        <f>8.5*$P$5/$P$7</f>
        <v>51850</v>
      </c>
      <c r="L30" s="91"/>
      <c r="M30" s="121">
        <f>7.5*$P$5/$P$7</f>
        <v>45750</v>
      </c>
      <c r="N30" s="122"/>
      <c r="O30" s="11"/>
    </row>
    <row r="31" spans="1:15">
      <c r="A31" s="10">
        <f>A30+1</f>
        <v>35</v>
      </c>
      <c r="B31" s="30"/>
      <c r="C31" s="117" t="s">
        <v>46</v>
      </c>
      <c r="D31" s="117"/>
      <c r="E31" s="117"/>
      <c r="F31" s="118"/>
      <c r="G31" s="119">
        <f>G30+K32</f>
        <v>81130</v>
      </c>
      <c r="H31" s="120"/>
      <c r="I31" s="121">
        <f>I30+K32</f>
        <v>71980</v>
      </c>
      <c r="J31" s="91"/>
      <c r="K31" s="121">
        <f>K30+K32</f>
        <v>65880</v>
      </c>
      <c r="L31" s="91"/>
      <c r="M31" s="121">
        <f>M30+K32</f>
        <v>59780</v>
      </c>
      <c r="N31" s="122"/>
      <c r="O31" s="11"/>
    </row>
    <row r="32" spans="1:15" ht="20.100000000000001" customHeight="1">
      <c r="A32" s="10">
        <f t="shared" ref="A32:A36" si="2">A31+1</f>
        <v>36</v>
      </c>
      <c r="B32" s="31"/>
      <c r="C32" s="123" t="s">
        <v>47</v>
      </c>
      <c r="D32" s="123"/>
      <c r="E32" s="123"/>
      <c r="F32" s="123"/>
      <c r="G32" s="123"/>
      <c r="H32" s="123"/>
      <c r="I32" s="123"/>
      <c r="J32" s="32"/>
      <c r="K32" s="120">
        <f>2.3*$P$5/$P$7</f>
        <v>14029.999999999998</v>
      </c>
      <c r="L32" s="120"/>
      <c r="M32" s="21" t="s">
        <v>40</v>
      </c>
      <c r="N32" s="12"/>
      <c r="O32" s="11"/>
    </row>
    <row r="33" spans="1:15" ht="20.100000000000001" customHeight="1">
      <c r="A33" s="10">
        <f t="shared" si="2"/>
        <v>37</v>
      </c>
      <c r="B33" s="127" t="s">
        <v>48</v>
      </c>
      <c r="C33" s="128"/>
      <c r="D33" s="128"/>
      <c r="E33" s="128"/>
      <c r="F33" s="129"/>
      <c r="G33" s="119">
        <f>G30+K34</f>
        <v>82350</v>
      </c>
      <c r="H33" s="120"/>
      <c r="I33" s="121">
        <f>I30+K34</f>
        <v>73200</v>
      </c>
      <c r="J33" s="91"/>
      <c r="K33" s="121">
        <f>K30+K34</f>
        <v>67100</v>
      </c>
      <c r="L33" s="91"/>
      <c r="M33" s="121">
        <f>M30+K34</f>
        <v>61000</v>
      </c>
      <c r="N33" s="122"/>
      <c r="O33" s="11"/>
    </row>
    <row r="34" spans="1:15" ht="20.100000000000001" customHeight="1">
      <c r="A34" s="10">
        <f t="shared" si="2"/>
        <v>38</v>
      </c>
      <c r="B34" s="127" t="s">
        <v>49</v>
      </c>
      <c r="C34" s="128"/>
      <c r="D34" s="128"/>
      <c r="E34" s="128"/>
      <c r="F34" s="128"/>
      <c r="G34" s="128"/>
      <c r="H34" s="128"/>
      <c r="I34" s="128"/>
      <c r="J34" s="128"/>
      <c r="K34" s="120">
        <f>2.5*$P$5/$P$7</f>
        <v>15250</v>
      </c>
      <c r="L34" s="120"/>
      <c r="M34" s="21" t="s">
        <v>40</v>
      </c>
      <c r="N34" s="12"/>
      <c r="O34" s="11"/>
    </row>
    <row r="35" spans="1:15" ht="20.100000000000001" customHeight="1">
      <c r="A35" s="10">
        <f t="shared" si="2"/>
        <v>39</v>
      </c>
      <c r="B35" s="33"/>
      <c r="C35" s="125" t="s">
        <v>52</v>
      </c>
      <c r="D35" s="125"/>
      <c r="E35" s="125"/>
      <c r="F35" s="125"/>
      <c r="G35" s="120">
        <f>G30+J36</f>
        <v>103700</v>
      </c>
      <c r="H35" s="120"/>
      <c r="I35" s="121">
        <f>I30+J36</f>
        <v>94550</v>
      </c>
      <c r="J35" s="91"/>
      <c r="K35" s="121">
        <f>K30+J36</f>
        <v>88450</v>
      </c>
      <c r="L35" s="91"/>
      <c r="M35" s="121">
        <f>M30+J36</f>
        <v>82350</v>
      </c>
      <c r="N35" s="122"/>
      <c r="O35" s="11"/>
    </row>
    <row r="36" spans="1:15" ht="16.5" customHeight="1">
      <c r="A36" s="10">
        <f t="shared" si="2"/>
        <v>40</v>
      </c>
      <c r="B36" s="33"/>
      <c r="C36" s="125" t="s">
        <v>53</v>
      </c>
      <c r="D36" s="125"/>
      <c r="E36" s="125"/>
      <c r="F36" s="125"/>
      <c r="G36" s="125"/>
      <c r="H36" s="125"/>
      <c r="I36" s="125"/>
      <c r="J36" s="126">
        <f>6*$P$5/$P$7</f>
        <v>36600</v>
      </c>
      <c r="K36" s="126"/>
      <c r="L36" s="126"/>
      <c r="M36" s="21" t="s">
        <v>40</v>
      </c>
      <c r="N36" s="12"/>
      <c r="O36" s="11"/>
    </row>
    <row r="37" spans="1:15" ht="15" customHeight="1">
      <c r="B37" s="72"/>
      <c r="C37" s="48"/>
      <c r="D37" s="48"/>
      <c r="E37" s="48"/>
      <c r="F37" s="48"/>
      <c r="G37" s="48"/>
      <c r="H37" s="48"/>
      <c r="I37" s="48"/>
      <c r="J37" s="73"/>
      <c r="K37" s="73"/>
      <c r="L37" s="73"/>
      <c r="M37" s="74"/>
      <c r="N37" s="16"/>
      <c r="O37" s="11"/>
    </row>
    <row r="38" spans="1:15" ht="15" customHeight="1">
      <c r="B38" s="102" t="s">
        <v>98</v>
      </c>
      <c r="C38" s="102"/>
      <c r="D38" s="102"/>
      <c r="E38" s="102"/>
      <c r="F38" s="102"/>
      <c r="G38" s="102"/>
      <c r="H38" s="81"/>
      <c r="I38" s="81"/>
      <c r="J38" s="16"/>
      <c r="K38" s="16"/>
      <c r="L38" s="16"/>
      <c r="M38" s="16"/>
      <c r="N38" s="16"/>
      <c r="O38" s="11"/>
    </row>
    <row r="39" spans="1:15" ht="15" customHeight="1">
      <c r="B39" s="102" t="s">
        <v>156</v>
      </c>
      <c r="C39" s="102"/>
      <c r="D39" s="102"/>
      <c r="E39" s="102"/>
      <c r="F39" s="102"/>
      <c r="G39" s="102"/>
      <c r="H39" s="102"/>
      <c r="I39" s="102"/>
      <c r="O39" s="11"/>
    </row>
    <row r="40" spans="1:15" ht="15" customHeight="1">
      <c r="B40" s="90"/>
      <c r="C40" s="90"/>
      <c r="D40" s="90"/>
      <c r="E40" s="90"/>
      <c r="F40" s="90"/>
      <c r="G40" s="22"/>
      <c r="H40" s="22"/>
      <c r="I40" s="22"/>
      <c r="O40" s="11"/>
    </row>
    <row r="41" spans="1:15" ht="15" customHeight="1">
      <c r="O41" s="11"/>
    </row>
    <row r="42" spans="1:15" ht="15" customHeight="1">
      <c r="O42" s="11"/>
    </row>
    <row r="43" spans="1:15" ht="15" customHeight="1">
      <c r="O43" s="11"/>
    </row>
    <row r="44" spans="1:15" ht="15" customHeight="1">
      <c r="O44" s="11"/>
    </row>
    <row r="47" spans="1:15" ht="12.75" customHeight="1"/>
  </sheetData>
  <mergeCells count="117">
    <mergeCell ref="B38:G38"/>
    <mergeCell ref="K35:L35"/>
    <mergeCell ref="M35:N35"/>
    <mergeCell ref="C36:I36"/>
    <mergeCell ref="J36:L36"/>
    <mergeCell ref="K32:L32"/>
    <mergeCell ref="B33:F33"/>
    <mergeCell ref="G33:H33"/>
    <mergeCell ref="I33:J33"/>
    <mergeCell ref="K33:L33"/>
    <mergeCell ref="B39:I39"/>
    <mergeCell ref="B7:F7"/>
    <mergeCell ref="B8:F8"/>
    <mergeCell ref="G8:H8"/>
    <mergeCell ref="I8:J8"/>
    <mergeCell ref="K8:L8"/>
    <mergeCell ref="M8:N8"/>
    <mergeCell ref="B10:F10"/>
    <mergeCell ref="G10:H10"/>
    <mergeCell ref="I10:J10"/>
    <mergeCell ref="K10:L10"/>
    <mergeCell ref="M10:N10"/>
    <mergeCell ref="B11:F11"/>
    <mergeCell ref="G11:H11"/>
    <mergeCell ref="I11:J11"/>
    <mergeCell ref="K11:L11"/>
    <mergeCell ref="M11:N11"/>
    <mergeCell ref="K17:L17"/>
    <mergeCell ref="B12:F12"/>
    <mergeCell ref="G12:N12"/>
    <mergeCell ref="B13:F13"/>
    <mergeCell ref="G13:H13"/>
    <mergeCell ref="I13:J13"/>
    <mergeCell ref="K13:L13"/>
    <mergeCell ref="C1:N1"/>
    <mergeCell ref="C2:J2"/>
    <mergeCell ref="K2:N2"/>
    <mergeCell ref="E5:F5"/>
    <mergeCell ref="I5:J5"/>
    <mergeCell ref="K5:L5"/>
    <mergeCell ref="M5:N5"/>
    <mergeCell ref="C3:J3"/>
    <mergeCell ref="B9:F9"/>
    <mergeCell ref="G9:H9"/>
    <mergeCell ref="I9:J9"/>
    <mergeCell ref="K9:L9"/>
    <mergeCell ref="M9:N9"/>
    <mergeCell ref="M13:N13"/>
    <mergeCell ref="G19:H19"/>
    <mergeCell ref="I19:J19"/>
    <mergeCell ref="K19:L19"/>
    <mergeCell ref="M19:N19"/>
    <mergeCell ref="B14:F14"/>
    <mergeCell ref="G14:H14"/>
    <mergeCell ref="I14:J14"/>
    <mergeCell ref="K14:L14"/>
    <mergeCell ref="G16:H16"/>
    <mergeCell ref="I16:J16"/>
    <mergeCell ref="K16:L16"/>
    <mergeCell ref="M14:N14"/>
    <mergeCell ref="B15:F15"/>
    <mergeCell ref="G15:H15"/>
    <mergeCell ref="I15:J15"/>
    <mergeCell ref="K15:L15"/>
    <mergeCell ref="M15:N15"/>
    <mergeCell ref="C18:I18"/>
    <mergeCell ref="K18:L18"/>
    <mergeCell ref="G17:H17"/>
    <mergeCell ref="M17:N17"/>
    <mergeCell ref="M16:N16"/>
    <mergeCell ref="B17:F17"/>
    <mergeCell ref="I17:J17"/>
    <mergeCell ref="B40:F40"/>
    <mergeCell ref="K21:L21"/>
    <mergeCell ref="C16:F16"/>
    <mergeCell ref="C22:I22"/>
    <mergeCell ref="J22:L22"/>
    <mergeCell ref="M33:N33"/>
    <mergeCell ref="B34:J34"/>
    <mergeCell ref="K34:L34"/>
    <mergeCell ref="B19:F19"/>
    <mergeCell ref="B20:J20"/>
    <mergeCell ref="K20:L20"/>
    <mergeCell ref="C21:F21"/>
    <mergeCell ref="G21:H21"/>
    <mergeCell ref="I21:J21"/>
    <mergeCell ref="M21:N21"/>
    <mergeCell ref="B26:F26"/>
    <mergeCell ref="G26:H26"/>
    <mergeCell ref="I26:J26"/>
    <mergeCell ref="K26:L26"/>
    <mergeCell ref="M26:N26"/>
    <mergeCell ref="C35:F35"/>
    <mergeCell ref="G35:H35"/>
    <mergeCell ref="I35:J35"/>
    <mergeCell ref="B25:H25"/>
    <mergeCell ref="C31:F31"/>
    <mergeCell ref="G31:H31"/>
    <mergeCell ref="I31:J31"/>
    <mergeCell ref="K31:L31"/>
    <mergeCell ref="M31:N31"/>
    <mergeCell ref="C32:I32"/>
    <mergeCell ref="B30:F30"/>
    <mergeCell ref="G30:H30"/>
    <mergeCell ref="I30:J30"/>
    <mergeCell ref="K30:L30"/>
    <mergeCell ref="M30:N30"/>
    <mergeCell ref="M27:N27"/>
    <mergeCell ref="K28:L28"/>
    <mergeCell ref="B27:F27"/>
    <mergeCell ref="G27:H27"/>
    <mergeCell ref="I27:J27"/>
    <mergeCell ref="K27:L27"/>
    <mergeCell ref="B28:F28"/>
    <mergeCell ref="G28:H28"/>
    <mergeCell ref="I28:J28"/>
    <mergeCell ref="M28:N28"/>
  </mergeCells>
  <pageMargins left="0.7" right="0.7" top="0.75" bottom="0.75" header="0.3" footer="0.3"/>
  <pageSetup paperSize="9" scale="9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showGridLines="0" view="pageBreakPreview" zoomScale="115" zoomScaleSheetLayoutView="115" workbookViewId="0">
      <selection activeCell="P18" sqref="P18"/>
    </sheetView>
  </sheetViews>
  <sheetFormatPr defaultRowHeight="12.75"/>
  <cols>
    <col min="1" max="1" width="3.85546875" style="6" customWidth="1"/>
    <col min="2" max="2" width="9.140625" style="6"/>
    <col min="3" max="3" width="12.7109375" style="6" customWidth="1"/>
    <col min="4" max="4" width="6.7109375" style="6" customWidth="1"/>
    <col min="5" max="5" width="5.7109375" style="6" customWidth="1"/>
    <col min="6" max="6" width="4.7109375" style="6" customWidth="1"/>
    <col min="7" max="7" width="6.28515625" style="6" customWidth="1"/>
    <col min="8" max="8" width="7.7109375" style="6" customWidth="1"/>
    <col min="9" max="14" width="5.140625" style="6" customWidth="1"/>
    <col min="15" max="16384" width="9.140625" style="6"/>
  </cols>
  <sheetData>
    <row r="1" spans="1:16" ht="39.75" customHeight="1">
      <c r="C1" s="90" t="str">
        <f>буквы!C1</f>
        <v>Рекламное агентство "VITA-Sign". Головной офис: Республика Узбекистан, г.Ташкент, ул. Мукими, 1проезд,7, тел.: 253-68-02, e-mail: vita-sign@mail.ru; www\\uz-reklama.uz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6">
      <c r="C2" s="98" t="s">
        <v>98</v>
      </c>
      <c r="D2" s="98"/>
      <c r="E2" s="98"/>
      <c r="F2" s="98"/>
      <c r="G2" s="98"/>
      <c r="H2" s="98"/>
      <c r="I2" s="98"/>
      <c r="J2" s="98"/>
      <c r="K2" s="93">
        <f>буквы!K2</f>
        <v>42248</v>
      </c>
      <c r="L2" s="93"/>
      <c r="M2" s="93"/>
      <c r="N2" s="93"/>
    </row>
    <row r="3" spans="1:16" ht="9" customHeight="1" thickBot="1"/>
    <row r="4" spans="1:16" ht="13.5" thickBot="1">
      <c r="D4" s="28"/>
      <c r="E4" s="159"/>
      <c r="F4" s="160"/>
      <c r="G4" s="34">
        <v>1</v>
      </c>
      <c r="H4" s="35" t="s">
        <v>51</v>
      </c>
      <c r="I4" s="145" t="s">
        <v>54</v>
      </c>
      <c r="J4" s="146"/>
      <c r="K4" s="146"/>
      <c r="L4" s="34"/>
      <c r="M4" s="161"/>
      <c r="N4" s="140"/>
      <c r="O4" s="7" t="s">
        <v>0</v>
      </c>
      <c r="P4" s="8">
        <f>буквы!P4</f>
        <v>6100</v>
      </c>
    </row>
    <row r="5" spans="1:16" ht="15.75" customHeight="1">
      <c r="B5" s="162" t="s">
        <v>59</v>
      </c>
      <c r="C5" s="162"/>
      <c r="D5" s="162"/>
      <c r="E5" s="162"/>
      <c r="F5" s="20"/>
      <c r="G5" s="19"/>
      <c r="H5" s="20"/>
      <c r="I5" s="19"/>
      <c r="J5" s="20"/>
      <c r="K5" s="19"/>
      <c r="L5" s="20"/>
      <c r="M5" s="19"/>
      <c r="N5" s="20"/>
      <c r="O5" s="7"/>
      <c r="P5" s="8"/>
    </row>
    <row r="6" spans="1:16" ht="20.100000000000001" customHeight="1">
      <c r="A6" s="44"/>
      <c r="B6" s="163" t="s">
        <v>60</v>
      </c>
      <c r="C6" s="163"/>
      <c r="D6" s="163"/>
      <c r="E6" s="163"/>
      <c r="F6" s="8"/>
      <c r="G6" s="8"/>
      <c r="H6" s="8"/>
      <c r="I6" s="8"/>
      <c r="J6" s="8"/>
      <c r="K6" s="8"/>
      <c r="L6" s="8"/>
      <c r="M6" s="8"/>
      <c r="N6" s="8"/>
      <c r="P6" s="8">
        <f>буквы!P6</f>
        <v>1</v>
      </c>
    </row>
    <row r="7" spans="1:16" ht="15" customHeight="1">
      <c r="A7" s="10">
        <f>WP!A36+1</f>
        <v>41</v>
      </c>
      <c r="B7" s="96" t="s">
        <v>57</v>
      </c>
      <c r="C7" s="124"/>
      <c r="D7" s="147" t="s">
        <v>36</v>
      </c>
      <c r="E7" s="148"/>
      <c r="F7" s="149"/>
      <c r="G7" s="119">
        <f>WP!G21*8+(10*$P$4/$P$6)+(12*$P$4/$P$6)</f>
        <v>768600</v>
      </c>
      <c r="H7" s="120"/>
      <c r="I7" s="121">
        <f>WP!K21*8+(10*$P$4/$P$6)+(12*$P$4/$P$6)</f>
        <v>695400</v>
      </c>
      <c r="J7" s="91"/>
      <c r="K7" s="91"/>
      <c r="L7" s="121" t="s">
        <v>58</v>
      </c>
      <c r="M7" s="91"/>
      <c r="N7" s="122"/>
      <c r="O7" s="11"/>
    </row>
    <row r="8" spans="1:16" ht="15" customHeight="1">
      <c r="A8" s="10">
        <f>A7+1</f>
        <v>42</v>
      </c>
      <c r="B8" s="96" t="s">
        <v>56</v>
      </c>
      <c r="C8" s="124"/>
      <c r="D8" s="150"/>
      <c r="E8" s="151"/>
      <c r="F8" s="152"/>
      <c r="G8" s="119">
        <f>WP!G21*15+(10*$P$4/$P$6)+(12*$P$4/$P$6)</f>
        <v>1323700</v>
      </c>
      <c r="H8" s="120"/>
      <c r="I8" s="121">
        <f>WP!K21*15+(10*$P$4/$P$6)+(12*$P$4/$P$6)</f>
        <v>1186450</v>
      </c>
      <c r="J8" s="91"/>
      <c r="K8" s="91"/>
      <c r="L8" s="121" t="s">
        <v>58</v>
      </c>
      <c r="M8" s="91"/>
      <c r="N8" s="122"/>
      <c r="O8" s="11"/>
    </row>
    <row r="9" spans="1:16" ht="15" customHeight="1">
      <c r="A9" s="10">
        <f>A8+1</f>
        <v>43</v>
      </c>
      <c r="B9" s="96" t="s">
        <v>55</v>
      </c>
      <c r="C9" s="124"/>
      <c r="D9" s="153"/>
      <c r="E9" s="154"/>
      <c r="F9" s="155"/>
      <c r="G9" s="119">
        <f>WP!G21*4+(10*$P$4/$P$6)+(12*$P$4/$P$6)</f>
        <v>451400</v>
      </c>
      <c r="H9" s="120"/>
      <c r="I9" s="121">
        <f>WP!I21*4+(10*$P$4/$P$6)+(12*$P$4/$P$6)</f>
        <v>427000</v>
      </c>
      <c r="J9" s="91"/>
      <c r="K9" s="91"/>
      <c r="L9" s="121" t="s">
        <v>58</v>
      </c>
      <c r="M9" s="91"/>
      <c r="N9" s="122"/>
      <c r="O9" s="11"/>
    </row>
    <row r="10" spans="1:16" s="37" customFormat="1" ht="30" customHeight="1" thickBot="1">
      <c r="A10" s="36"/>
      <c r="B10" s="165"/>
      <c r="C10" s="165"/>
      <c r="D10" s="165"/>
      <c r="E10" s="165"/>
      <c r="F10" s="165"/>
      <c r="G10" s="164"/>
      <c r="H10" s="164"/>
      <c r="I10" s="144"/>
      <c r="J10" s="144"/>
      <c r="K10" s="144"/>
      <c r="L10" s="38"/>
      <c r="M10" s="38"/>
      <c r="N10" s="38"/>
      <c r="O10" s="23"/>
    </row>
    <row r="11" spans="1:16" s="37" customFormat="1" ht="21.75" customHeight="1" thickBot="1">
      <c r="A11" s="36"/>
      <c r="B11" s="42"/>
      <c r="C11" s="42"/>
      <c r="D11" s="42"/>
      <c r="E11" s="137" t="s">
        <v>66</v>
      </c>
      <c r="F11" s="138"/>
      <c r="G11" s="34">
        <v>1</v>
      </c>
      <c r="H11" s="35" t="s">
        <v>63</v>
      </c>
      <c r="I11" s="145" t="s">
        <v>64</v>
      </c>
      <c r="J11" s="146"/>
      <c r="K11" s="146"/>
      <c r="L11" s="171" t="s">
        <v>105</v>
      </c>
      <c r="M11" s="172"/>
      <c r="N11" s="173"/>
      <c r="O11" s="23"/>
    </row>
    <row r="12" spans="1:16" s="37" customFormat="1" ht="20.100000000000001" customHeight="1">
      <c r="A12" s="36"/>
      <c r="B12" s="114" t="s">
        <v>16</v>
      </c>
      <c r="C12" s="114"/>
      <c r="D12" s="114"/>
      <c r="E12" s="114"/>
      <c r="F12" s="39"/>
      <c r="G12" s="40"/>
      <c r="H12" s="40"/>
      <c r="I12" s="41"/>
      <c r="J12" s="41"/>
      <c r="K12" s="41"/>
      <c r="L12" s="41"/>
      <c r="M12" s="41"/>
      <c r="N12" s="41"/>
      <c r="O12" s="23"/>
    </row>
    <row r="13" spans="1:16" ht="15" customHeight="1">
      <c r="A13" s="10">
        <f>A9+1</f>
        <v>44</v>
      </c>
      <c r="B13" s="157" t="s">
        <v>65</v>
      </c>
      <c r="C13" s="125"/>
      <c r="D13" s="125"/>
      <c r="E13" s="125"/>
      <c r="F13" s="158"/>
      <c r="G13" s="121">
        <f>(2*WP!I8)+(4*2*$P$4/$P$6)+(0.5*25*$P$4/$P$6)+(12*$P$4/$P$6)+(10*$P$4/$P$6)</f>
        <v>310490</v>
      </c>
      <c r="H13" s="91"/>
      <c r="I13" s="121">
        <f>((2*WP!I8)+(4*2*$P$4/$P$6)+(0.5*25*$P$4/$P$6)+(10*$P$4/$P$6))*1.3+(12*$P$4/$P$6)</f>
        <v>381677</v>
      </c>
      <c r="J13" s="91"/>
      <c r="K13" s="91"/>
      <c r="L13" s="121"/>
      <c r="M13" s="91"/>
      <c r="N13" s="122"/>
      <c r="O13" s="11"/>
    </row>
    <row r="14" spans="1:16" ht="15" customHeight="1">
      <c r="A14" s="10">
        <f t="shared" ref="A14:A16" si="0">A13+1</f>
        <v>45</v>
      </c>
      <c r="B14" s="96" t="s">
        <v>61</v>
      </c>
      <c r="C14" s="124"/>
      <c r="D14" s="124"/>
      <c r="E14" s="124"/>
      <c r="F14" s="97"/>
      <c r="G14" s="121">
        <f>(WP!I13)+(6*6*$P$4/$P$6)+(15*$P$4/$P$6)+(15*$P$4/$P$6)+(10*$P$4/$P$6)+(12*$P$4/$P$6)+(15*$P$4/$P$6)</f>
        <v>664900</v>
      </c>
      <c r="H14" s="91"/>
      <c r="I14" s="121">
        <f>((WP!I13)+(6*6*$P$4/$P$6)+(15*$P$4/$P$6)+(15*$P$4/$P$6)+(10*$P$4/$P$6)+(15*$P$4/$P$6))*1.3+(12*$P$4/$P$6)</f>
        <v>842410</v>
      </c>
      <c r="J14" s="91"/>
      <c r="K14" s="91"/>
      <c r="L14" s="170">
        <v>0.7</v>
      </c>
      <c r="M14" s="91"/>
      <c r="N14" s="122"/>
      <c r="O14" s="11"/>
    </row>
    <row r="15" spans="1:16" ht="15" customHeight="1">
      <c r="A15" s="10">
        <f t="shared" si="0"/>
        <v>46</v>
      </c>
      <c r="B15" s="96" t="s">
        <v>62</v>
      </c>
      <c r="C15" s="124"/>
      <c r="D15" s="124"/>
      <c r="E15" s="124"/>
      <c r="F15" s="97"/>
      <c r="G15" s="121">
        <f>(WP!I13)+(0.5*25*$P$4/$P$6)+(15*$P$4/$P$6)+(15*$P$4/$P$6)+(10*$P$4/$P$6)+(12*$P$4/$P$6)+(15*$P$4/$P$6)</f>
        <v>521550</v>
      </c>
      <c r="H15" s="91"/>
      <c r="I15" s="121">
        <f>((WP!I13)+(0.5*25*$P$4/$P$6)+(15*$P$4/$P$6)+(15*$P$4/$P$6)+(10*$P$4/$P$6)+(15*$P$4/$P$6))*1.3+(12*$P$4/$P$6)</f>
        <v>656055</v>
      </c>
      <c r="J15" s="91"/>
      <c r="K15" s="91"/>
      <c r="L15" s="170">
        <v>0.7</v>
      </c>
      <c r="M15" s="91"/>
      <c r="N15" s="122"/>
      <c r="O15" s="11"/>
    </row>
    <row r="16" spans="1:16" ht="15" customHeight="1">
      <c r="A16" s="10">
        <f t="shared" si="0"/>
        <v>47</v>
      </c>
      <c r="B16" s="96" t="s">
        <v>99</v>
      </c>
      <c r="C16" s="124"/>
      <c r="D16" s="124"/>
      <c r="E16" s="124"/>
      <c r="F16" s="97"/>
      <c r="G16" s="121" t="s">
        <v>100</v>
      </c>
      <c r="H16" s="91"/>
      <c r="I16" s="91"/>
      <c r="J16" s="91"/>
      <c r="K16" s="91"/>
      <c r="L16" s="91">
        <f>35*P$4/P6</f>
        <v>213500</v>
      </c>
      <c r="M16" s="91"/>
      <c r="N16" s="91"/>
      <c r="O16" s="11"/>
    </row>
    <row r="17" spans="1:15" ht="14.25">
      <c r="A17" s="10"/>
      <c r="B17" s="94" t="s">
        <v>39</v>
      </c>
      <c r="C17" s="141"/>
      <c r="D17" s="141"/>
      <c r="E17" s="141"/>
      <c r="F17" s="95"/>
      <c r="G17" s="142" t="s">
        <v>24</v>
      </c>
      <c r="H17" s="143"/>
      <c r="I17" s="143"/>
      <c r="J17" s="143"/>
      <c r="K17" s="143"/>
      <c r="L17" s="143"/>
      <c r="M17" s="143"/>
      <c r="N17" s="143"/>
      <c r="O17" s="11"/>
    </row>
    <row r="18" spans="1:15" ht="14.25">
      <c r="A18" s="10"/>
      <c r="B18" s="167" t="s">
        <v>106</v>
      </c>
      <c r="C18" s="141"/>
      <c r="D18" s="141"/>
      <c r="E18" s="141"/>
      <c r="F18" s="95"/>
      <c r="G18" s="168">
        <v>1.6</v>
      </c>
      <c r="H18" s="169"/>
      <c r="I18" s="169"/>
      <c r="J18" s="169"/>
      <c r="K18" s="169"/>
      <c r="L18" s="169"/>
      <c r="M18" s="169"/>
      <c r="N18" s="169"/>
      <c r="O18" s="11"/>
    </row>
    <row r="19" spans="1:15" s="37" customFormat="1" ht="25.5" customHeight="1" thickBot="1">
      <c r="A19" s="36"/>
      <c r="B19" s="45"/>
      <c r="C19" s="45"/>
      <c r="D19" s="45"/>
      <c r="E19" s="45"/>
      <c r="F19" s="45"/>
      <c r="G19" s="46"/>
      <c r="H19" s="46"/>
      <c r="I19" s="46"/>
      <c r="J19" s="46"/>
      <c r="K19" s="46"/>
      <c r="L19" s="46"/>
      <c r="M19" s="46"/>
      <c r="N19" s="46"/>
      <c r="O19" s="26"/>
    </row>
    <row r="20" spans="1:15" s="37" customFormat="1" ht="13.5" thickBot="1">
      <c r="A20" s="36"/>
      <c r="B20" s="19"/>
      <c r="C20" s="19"/>
      <c r="D20" s="19"/>
      <c r="E20" s="159"/>
      <c r="F20" s="160"/>
      <c r="G20" s="34" t="s">
        <v>15</v>
      </c>
      <c r="H20" s="35" t="s">
        <v>50</v>
      </c>
      <c r="I20" s="139" t="s">
        <v>43</v>
      </c>
      <c r="J20" s="140"/>
      <c r="K20" s="139" t="s">
        <v>44</v>
      </c>
      <c r="L20" s="140"/>
      <c r="M20" s="139" t="s">
        <v>45</v>
      </c>
      <c r="N20" s="140"/>
      <c r="O20" s="26"/>
    </row>
    <row r="21" spans="1:15" s="37" customFormat="1" ht="15" customHeight="1">
      <c r="A21" s="36"/>
      <c r="B21" s="114" t="s">
        <v>71</v>
      </c>
      <c r="C21" s="114"/>
      <c r="D21" s="114"/>
      <c r="E21" s="114"/>
      <c r="F21" s="19"/>
      <c r="G21" s="47"/>
      <c r="H21" s="47"/>
      <c r="I21" s="47"/>
      <c r="J21" s="47"/>
      <c r="K21" s="47"/>
      <c r="L21" s="47"/>
      <c r="M21" s="47"/>
      <c r="N21" s="47"/>
      <c r="O21" s="26"/>
    </row>
    <row r="22" spans="1:15" ht="15" customHeight="1">
      <c r="A22" s="10">
        <f>A16+1</f>
        <v>48</v>
      </c>
      <c r="B22" s="96" t="s">
        <v>153</v>
      </c>
      <c r="C22" s="124"/>
      <c r="D22" s="124"/>
      <c r="E22" s="124"/>
      <c r="F22" s="97"/>
      <c r="G22" s="119">
        <f>2500/буквы!P6</f>
        <v>2500</v>
      </c>
      <c r="H22" s="120"/>
      <c r="I22" s="121"/>
      <c r="J22" s="91"/>
      <c r="K22" s="121"/>
      <c r="L22" s="91"/>
      <c r="M22" s="121"/>
      <c r="N22" s="122"/>
      <c r="O22" s="11"/>
    </row>
    <row r="23" spans="1:15" ht="15" customHeight="1">
      <c r="A23" s="10">
        <f>A22+1</f>
        <v>49</v>
      </c>
      <c r="B23" s="96" t="s">
        <v>154</v>
      </c>
      <c r="C23" s="124"/>
      <c r="D23" s="124"/>
      <c r="E23" s="124"/>
      <c r="F23" s="97"/>
      <c r="G23" s="119">
        <f>650000/буквы!P6</f>
        <v>650000</v>
      </c>
      <c r="H23" s="120"/>
      <c r="I23" s="76"/>
      <c r="J23" s="75"/>
      <c r="K23" s="76"/>
      <c r="L23" s="75"/>
      <c r="M23" s="75"/>
      <c r="N23" s="77"/>
      <c r="O23" s="11"/>
    </row>
    <row r="24" spans="1:15" ht="15" customHeight="1">
      <c r="A24" s="10">
        <f>A23+1</f>
        <v>50</v>
      </c>
      <c r="B24" s="96" t="s">
        <v>74</v>
      </c>
      <c r="C24" s="124"/>
      <c r="D24" s="124"/>
      <c r="E24" s="124"/>
      <c r="F24" s="97"/>
      <c r="G24" s="119">
        <f>WP!G8+(18*$P$4/$P$6)</f>
        <v>131150</v>
      </c>
      <c r="H24" s="120"/>
      <c r="I24" s="121">
        <f>WP!I8+(5*$P$4/$P$6)</f>
        <v>56120</v>
      </c>
      <c r="J24" s="91"/>
      <c r="K24" s="121">
        <f>WP!K8+(5*$P$4/$P$6)</f>
        <v>53680</v>
      </c>
      <c r="L24" s="91"/>
      <c r="M24" s="121">
        <f>WP!M8+(5*$P$4/$P$6)</f>
        <v>51850</v>
      </c>
      <c r="N24" s="122"/>
      <c r="O24" s="11"/>
    </row>
    <row r="25" spans="1:15" ht="15" customHeight="1">
      <c r="A25" s="10">
        <f>A24+1</f>
        <v>51</v>
      </c>
      <c r="B25" s="157" t="s">
        <v>73</v>
      </c>
      <c r="C25" s="125"/>
      <c r="D25" s="125"/>
      <c r="E25" s="125"/>
      <c r="F25" s="158"/>
      <c r="G25" s="119">
        <f>WP!G8+(20*$P$4/$P$6)</f>
        <v>143350</v>
      </c>
      <c r="H25" s="120"/>
      <c r="I25" s="121">
        <f>WP!I8+(7*$P$4/$P$6)</f>
        <v>68320</v>
      </c>
      <c r="J25" s="91"/>
      <c r="K25" s="121">
        <f>WP!K8+(7*$P$4/$P$6)</f>
        <v>65880</v>
      </c>
      <c r="L25" s="122"/>
      <c r="M25" s="91">
        <f>WP!M8+(7*$P$4/$P$6)</f>
        <v>64050</v>
      </c>
      <c r="N25" s="122"/>
      <c r="O25" s="11"/>
    </row>
    <row r="26" spans="1:15" ht="15" customHeight="1">
      <c r="A26" s="10">
        <f>A25+1</f>
        <v>52</v>
      </c>
      <c r="B26" s="157" t="s">
        <v>68</v>
      </c>
      <c r="C26" s="125"/>
      <c r="D26" s="125"/>
      <c r="E26" s="125"/>
      <c r="F26" s="158"/>
      <c r="G26" s="119">
        <f>WP!G13+(25*$P$4/$P$6)+(12*$P$4/$P$6)+(12*$P$4/$P$6)+(10*$P$4/$P$6)</f>
        <v>402600</v>
      </c>
      <c r="H26" s="120"/>
      <c r="I26" s="121">
        <f>WP!I13+(25*$P$4/$P$6)+(12*$P$4/$P$6)+(5*$P$4/$P$6)+(10*$P$4/$P$6)</f>
        <v>353800</v>
      </c>
      <c r="J26" s="91"/>
      <c r="K26" s="121">
        <f>WP!K13+(25*$P$4/$P$6)+(12*$P$4/$P$6)+(5*$P$4/$P$6)+(10*$P$4/$P$6)</f>
        <v>350750</v>
      </c>
      <c r="L26" s="91"/>
      <c r="M26" s="121">
        <f>WP!M13+(25*$P$4/$P$6)+(12*$P$4/$P$6)+(5*$P$4/$P$6)+(10*$P$4/$P$6)</f>
        <v>347700</v>
      </c>
      <c r="N26" s="91"/>
      <c r="O26" s="11"/>
    </row>
    <row r="27" spans="1:15">
      <c r="A27" s="10"/>
      <c r="B27" s="94" t="s">
        <v>75</v>
      </c>
      <c r="C27" s="141"/>
      <c r="D27" s="141"/>
      <c r="E27" s="141"/>
      <c r="F27" s="95"/>
      <c r="G27" s="174" t="s">
        <v>14</v>
      </c>
      <c r="H27" s="175"/>
      <c r="I27" s="175"/>
      <c r="J27" s="175"/>
      <c r="K27" s="175"/>
      <c r="L27" s="175"/>
      <c r="M27" s="175"/>
      <c r="N27" s="175"/>
      <c r="O27" s="11"/>
    </row>
    <row r="28" spans="1:15" ht="15" customHeight="1" thickBot="1">
      <c r="A28" s="10"/>
      <c r="B28" s="48"/>
      <c r="C28" s="48"/>
      <c r="D28" s="48"/>
      <c r="E28" s="48"/>
      <c r="F28" s="48"/>
      <c r="G28" s="29"/>
      <c r="H28" s="29"/>
      <c r="I28" s="43"/>
      <c r="J28" s="43"/>
      <c r="K28" s="43"/>
      <c r="L28" s="43"/>
      <c r="M28" s="43"/>
      <c r="N28" s="43"/>
      <c r="O28" s="11"/>
    </row>
    <row r="29" spans="1:15" ht="13.5" thickBot="1">
      <c r="D29" s="11"/>
      <c r="G29" s="137" t="s">
        <v>70</v>
      </c>
      <c r="H29" s="138"/>
      <c r="I29" s="145" t="s">
        <v>72</v>
      </c>
      <c r="J29" s="146"/>
      <c r="K29" s="145" t="s">
        <v>64</v>
      </c>
      <c r="L29" s="166"/>
      <c r="M29" s="161"/>
      <c r="N29" s="140"/>
      <c r="O29" s="11"/>
    </row>
    <row r="30" spans="1:15" s="37" customFormat="1" ht="22.5" customHeight="1">
      <c r="A30" s="36"/>
      <c r="B30" s="162" t="s">
        <v>69</v>
      </c>
      <c r="C30" s="162"/>
      <c r="D30" s="162"/>
      <c r="E30" s="162"/>
      <c r="F30" s="19"/>
      <c r="G30" s="47"/>
      <c r="H30" s="47"/>
      <c r="I30" s="47"/>
      <c r="J30" s="47"/>
      <c r="K30" s="47"/>
      <c r="L30" s="47"/>
      <c r="M30" s="47"/>
      <c r="N30" s="47"/>
      <c r="O30" s="26"/>
    </row>
    <row r="31" spans="1:15" ht="15" customHeight="1">
      <c r="A31" s="10">
        <f>A26+1</f>
        <v>53</v>
      </c>
      <c r="B31" s="96" t="s">
        <v>79</v>
      </c>
      <c r="C31" s="124"/>
      <c r="D31" s="124"/>
      <c r="E31" s="124"/>
      <c r="F31" s="124"/>
      <c r="G31" s="124"/>
      <c r="H31" s="49"/>
      <c r="I31" s="156">
        <f>WP!G11+(8*$P$4/$P$6)</f>
        <v>85400</v>
      </c>
      <c r="J31" s="156"/>
      <c r="K31" s="156">
        <f>WP!G11*1.3+(10*$P$4/$P$6)</f>
        <v>108580</v>
      </c>
      <c r="L31" s="156"/>
      <c r="M31" s="24"/>
      <c r="N31" s="24"/>
      <c r="O31" s="11"/>
    </row>
    <row r="32" spans="1:15" ht="15" customHeight="1">
      <c r="A32" s="10">
        <f>A31+1</f>
        <v>54</v>
      </c>
      <c r="B32" s="157" t="s">
        <v>80</v>
      </c>
      <c r="C32" s="125"/>
      <c r="D32" s="125"/>
      <c r="E32" s="125"/>
      <c r="F32" s="125"/>
      <c r="G32" s="125"/>
      <c r="H32" s="158"/>
      <c r="I32" s="156">
        <f>WP!G8+(18*$P$4/$P$6)</f>
        <v>131150</v>
      </c>
      <c r="J32" s="156"/>
      <c r="K32" s="156">
        <f>WP!G8*1.3+(20*$P$4/$P$6)</f>
        <v>149755</v>
      </c>
      <c r="L32" s="156"/>
      <c r="M32" s="24"/>
      <c r="N32" s="27"/>
      <c r="O32" s="11"/>
    </row>
    <row r="33" spans="1:15" ht="15" customHeight="1">
      <c r="A33" s="10">
        <f>A32+1</f>
        <v>55</v>
      </c>
      <c r="B33" s="157" t="s">
        <v>78</v>
      </c>
      <c r="C33" s="125"/>
      <c r="D33" s="125"/>
      <c r="E33" s="125"/>
      <c r="F33" s="125"/>
      <c r="G33" s="125"/>
      <c r="H33" s="158"/>
      <c r="I33" s="156">
        <f>WP!G9+буквы!E31*1.3+(12*$P$4/$P$6)</f>
        <v>305000</v>
      </c>
      <c r="J33" s="156"/>
      <c r="K33" s="156">
        <f>(WP!G9+буквы!E31*1.3)*1.3+(12*$P$4/$P$6)</f>
        <v>374540</v>
      </c>
      <c r="L33" s="156"/>
      <c r="M33" s="24"/>
      <c r="N33" s="24"/>
      <c r="O33" s="11"/>
    </row>
    <row r="34" spans="1:15" ht="15" customHeight="1">
      <c r="A34" s="10">
        <f>A33+1</f>
        <v>56</v>
      </c>
      <c r="B34" s="157" t="s">
        <v>77</v>
      </c>
      <c r="C34" s="125"/>
      <c r="D34" s="125"/>
      <c r="E34" s="125"/>
      <c r="F34" s="125"/>
      <c r="G34" s="125"/>
      <c r="H34" s="158"/>
      <c r="I34" s="156">
        <f>WP!G9+буквы!E31*1.3+(12*$P$4/$P$6)</f>
        <v>305000</v>
      </c>
      <c r="J34" s="156"/>
      <c r="K34" s="156">
        <f>(WP!G9+буквы!E31*1.3)*2+(12*$P$4/$P$6)</f>
        <v>536800</v>
      </c>
      <c r="L34" s="156"/>
      <c r="M34" s="21"/>
      <c r="N34" s="12"/>
      <c r="O34" s="11"/>
    </row>
    <row r="35" spans="1:15">
      <c r="A35" s="10">
        <f t="shared" ref="A35:A36" si="1">A34+1</f>
        <v>57</v>
      </c>
      <c r="B35" s="157" t="s">
        <v>81</v>
      </c>
      <c r="C35" s="125"/>
      <c r="D35" s="125"/>
      <c r="E35" s="125"/>
      <c r="F35" s="125"/>
      <c r="G35" s="125"/>
      <c r="H35" s="158"/>
      <c r="I35" s="156">
        <f>(WP!G13+буквы!E27+буквы!E31*1.3)+(12*$P$4/$P$6)</f>
        <v>558150</v>
      </c>
      <c r="J35" s="156"/>
      <c r="K35" s="156">
        <f>(WP!G13+буквы!E27+буквы!E31*1.3)*1.3+(12*$P$4/$P$6)</f>
        <v>703635</v>
      </c>
      <c r="L35" s="156"/>
      <c r="M35" s="24"/>
      <c r="N35" s="24"/>
      <c r="O35" s="11"/>
    </row>
    <row r="36" spans="1:15">
      <c r="A36" s="10">
        <f t="shared" si="1"/>
        <v>58</v>
      </c>
      <c r="B36" s="157" t="s">
        <v>82</v>
      </c>
      <c r="C36" s="125"/>
      <c r="D36" s="125"/>
      <c r="E36" s="125"/>
      <c r="F36" s="125"/>
      <c r="G36" s="125"/>
      <c r="H36" s="158"/>
      <c r="I36" s="156">
        <f>(WP!G13+буквы!E27+буквы!E31*1.3)+(12*$P$4/$P$6)</f>
        <v>558150</v>
      </c>
      <c r="J36" s="156"/>
      <c r="K36" s="156">
        <f>(WP!G13+буквы!E27+буквы!E31*1.3)*2+(12*$P$4/$P$6)</f>
        <v>1043100</v>
      </c>
      <c r="L36" s="156"/>
      <c r="M36" s="21"/>
      <c r="N36" s="12"/>
      <c r="O36" s="11"/>
    </row>
    <row r="37" spans="1:15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2.75" customHeight="1">
      <c r="B38" s="102" t="s">
        <v>98</v>
      </c>
      <c r="C38" s="102"/>
      <c r="D38" s="102"/>
      <c r="E38" s="102"/>
      <c r="F38" s="102"/>
      <c r="G38" s="102"/>
      <c r="H38" s="22"/>
      <c r="I38" s="22"/>
    </row>
  </sheetData>
  <mergeCells count="100">
    <mergeCell ref="K32:L32"/>
    <mergeCell ref="B32:H32"/>
    <mergeCell ref="B21:E21"/>
    <mergeCell ref="I29:J29"/>
    <mergeCell ref="G22:H22"/>
    <mergeCell ref="I22:J22"/>
    <mergeCell ref="K22:L22"/>
    <mergeCell ref="G26:H26"/>
    <mergeCell ref="I26:J26"/>
    <mergeCell ref="K26:L26"/>
    <mergeCell ref="G27:N27"/>
    <mergeCell ref="M24:N24"/>
    <mergeCell ref="B23:F23"/>
    <mergeCell ref="B22:F22"/>
    <mergeCell ref="I32:J32"/>
    <mergeCell ref="M22:N22"/>
    <mergeCell ref="B13:F13"/>
    <mergeCell ref="G13:H13"/>
    <mergeCell ref="E11:F11"/>
    <mergeCell ref="B17:F17"/>
    <mergeCell ref="G17:N17"/>
    <mergeCell ref="L11:N11"/>
    <mergeCell ref="L13:N13"/>
    <mergeCell ref="I20:J20"/>
    <mergeCell ref="K20:L20"/>
    <mergeCell ref="M20:N20"/>
    <mergeCell ref="B14:F14"/>
    <mergeCell ref="G14:H14"/>
    <mergeCell ref="B15:F15"/>
    <mergeCell ref="G15:H15"/>
    <mergeCell ref="B18:F18"/>
    <mergeCell ref="G18:N18"/>
    <mergeCell ref="L14:N14"/>
    <mergeCell ref="L15:N15"/>
    <mergeCell ref="B38:G38"/>
    <mergeCell ref="B35:H35"/>
    <mergeCell ref="I35:J35"/>
    <mergeCell ref="B36:H36"/>
    <mergeCell ref="I36:J36"/>
    <mergeCell ref="M25:N25"/>
    <mergeCell ref="B26:F26"/>
    <mergeCell ref="B30:E30"/>
    <mergeCell ref="I31:J31"/>
    <mergeCell ref="K31:L31"/>
    <mergeCell ref="G29:H29"/>
    <mergeCell ref="M29:N29"/>
    <mergeCell ref="B27:F27"/>
    <mergeCell ref="B25:F25"/>
    <mergeCell ref="G25:H25"/>
    <mergeCell ref="I25:J25"/>
    <mergeCell ref="K25:L25"/>
    <mergeCell ref="K29:L29"/>
    <mergeCell ref="B31:G31"/>
    <mergeCell ref="M26:N26"/>
    <mergeCell ref="B5:E5"/>
    <mergeCell ref="B6:E6"/>
    <mergeCell ref="G24:H24"/>
    <mergeCell ref="I24:J24"/>
    <mergeCell ref="K24:L24"/>
    <mergeCell ref="B16:F16"/>
    <mergeCell ref="L16:N16"/>
    <mergeCell ref="G16:K16"/>
    <mergeCell ref="G10:H10"/>
    <mergeCell ref="B10:F10"/>
    <mergeCell ref="L8:N8"/>
    <mergeCell ref="L9:N9"/>
    <mergeCell ref="G8:H8"/>
    <mergeCell ref="G9:H9"/>
    <mergeCell ref="L7:N7"/>
    <mergeCell ref="B7:C7"/>
    <mergeCell ref="C1:N1"/>
    <mergeCell ref="C2:J2"/>
    <mergeCell ref="K2:N2"/>
    <mergeCell ref="E4:F4"/>
    <mergeCell ref="M4:N4"/>
    <mergeCell ref="I4:K4"/>
    <mergeCell ref="K36:L36"/>
    <mergeCell ref="B33:H33"/>
    <mergeCell ref="B34:H34"/>
    <mergeCell ref="I34:J34"/>
    <mergeCell ref="K34:L34"/>
    <mergeCell ref="K35:L35"/>
    <mergeCell ref="K33:L33"/>
    <mergeCell ref="I33:J33"/>
    <mergeCell ref="G7:H7"/>
    <mergeCell ref="B24:F24"/>
    <mergeCell ref="I8:K8"/>
    <mergeCell ref="I9:K9"/>
    <mergeCell ref="I10:K10"/>
    <mergeCell ref="I13:K13"/>
    <mergeCell ref="I14:K14"/>
    <mergeCell ref="I11:K11"/>
    <mergeCell ref="B12:E12"/>
    <mergeCell ref="B8:C8"/>
    <mergeCell ref="B9:C9"/>
    <mergeCell ref="D7:F9"/>
    <mergeCell ref="I7:K7"/>
    <mergeCell ref="I15:K15"/>
    <mergeCell ref="G23:H23"/>
    <mergeCell ref="E20:F20"/>
  </mergeCells>
  <pageMargins left="0.7" right="0.7" top="0.75" bottom="0.75" header="0.3" footer="0.3"/>
  <pageSetup paperSize="9" scale="9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4"/>
  <sheetViews>
    <sheetView showGridLines="0" view="pageBreakPreview" zoomScale="115" zoomScaleSheetLayoutView="115" workbookViewId="0">
      <selection activeCell="A37" sqref="A37"/>
    </sheetView>
  </sheetViews>
  <sheetFormatPr defaultRowHeight="12.75"/>
  <cols>
    <col min="1" max="1" width="3.85546875" style="6" customWidth="1"/>
    <col min="2" max="2" width="9.140625" style="6"/>
    <col min="3" max="3" width="12.7109375" style="6" customWidth="1"/>
    <col min="4" max="4" width="6.7109375" style="6" customWidth="1"/>
    <col min="5" max="5" width="10.42578125" style="6" customWidth="1"/>
    <col min="6" max="6" width="4.7109375" style="6" customWidth="1"/>
    <col min="7" max="7" width="6.28515625" style="6" customWidth="1"/>
    <col min="8" max="8" width="3.28515625" style="6" customWidth="1"/>
    <col min="9" max="9" width="4" style="6" customWidth="1"/>
    <col min="10" max="10" width="4.85546875" style="6" customWidth="1"/>
    <col min="11" max="11" width="3.7109375" style="6" customWidth="1"/>
    <col min="12" max="12" width="5.140625" style="6" customWidth="1"/>
    <col min="13" max="13" width="6.5703125" style="6" customWidth="1"/>
    <col min="14" max="14" width="6.7109375" style="6" customWidth="1"/>
    <col min="15" max="16384" width="9.140625" style="6"/>
  </cols>
  <sheetData>
    <row r="1" spans="1:16" ht="42.75" customHeight="1">
      <c r="C1" s="90" t="str">
        <f>буквы!C1</f>
        <v>Рекламное агентство "VITA-Sign". Головной офис: Республика Узбекистан, г.Ташкент, ул. Мукими, 1проезд,7, тел.: 253-68-02, e-mail: vita-sign@mail.ru; www\\uz-reklama.uz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6">
      <c r="C2" s="98" t="s">
        <v>98</v>
      </c>
      <c r="D2" s="98"/>
      <c r="E2" s="98"/>
      <c r="F2" s="98"/>
      <c r="G2" s="98"/>
      <c r="H2" s="98"/>
      <c r="I2" s="98"/>
      <c r="J2" s="98"/>
      <c r="K2" s="93">
        <f>буквы!K2</f>
        <v>42248</v>
      </c>
      <c r="L2" s="93"/>
      <c r="M2" s="93"/>
      <c r="N2" s="93"/>
    </row>
    <row r="3" spans="1:16" ht="13.5" thickBot="1"/>
    <row r="4" spans="1:16" ht="13.5" customHeight="1" thickBot="1">
      <c r="D4" s="28"/>
      <c r="E4" s="56"/>
      <c r="F4" s="179" t="s">
        <v>111</v>
      </c>
      <c r="G4" s="180"/>
      <c r="H4" s="181"/>
      <c r="I4" s="182" t="s">
        <v>112</v>
      </c>
      <c r="J4" s="146"/>
      <c r="K4" s="146"/>
      <c r="L4" s="145" t="s">
        <v>110</v>
      </c>
      <c r="M4" s="146"/>
      <c r="N4" s="166"/>
      <c r="O4" s="7" t="s">
        <v>0</v>
      </c>
      <c r="P4" s="62">
        <f>буквы!P4</f>
        <v>6100</v>
      </c>
    </row>
    <row r="5" spans="1:16">
      <c r="B5" s="187" t="s">
        <v>113</v>
      </c>
      <c r="C5" s="162"/>
      <c r="D5" s="162"/>
      <c r="E5" s="162"/>
      <c r="F5" s="20"/>
      <c r="G5" s="19"/>
      <c r="H5" s="20"/>
      <c r="I5" s="19"/>
      <c r="J5" s="20"/>
      <c r="K5" s="19"/>
      <c r="L5" s="20"/>
      <c r="M5" s="19"/>
      <c r="N5" s="20"/>
    </row>
    <row r="6" spans="1:16" ht="6" customHeight="1">
      <c r="A6" s="44"/>
      <c r="B6" s="163"/>
      <c r="C6" s="163"/>
      <c r="D6" s="163"/>
      <c r="E6" s="163"/>
      <c r="F6" s="8"/>
      <c r="G6" s="8"/>
      <c r="H6" s="8"/>
      <c r="I6" s="8"/>
      <c r="J6" s="8"/>
      <c r="K6" s="8"/>
      <c r="L6" s="8"/>
      <c r="M6" s="8"/>
      <c r="N6" s="8"/>
    </row>
    <row r="7" spans="1:16">
      <c r="A7" s="10">
        <f>'ГОТОВАЯ ПРОД'!A36+1</f>
        <v>59</v>
      </c>
      <c r="B7" s="184" t="s">
        <v>114</v>
      </c>
      <c r="C7" s="185"/>
      <c r="D7" s="185"/>
      <c r="E7" s="185"/>
      <c r="F7" s="185"/>
      <c r="G7" s="185"/>
      <c r="H7" s="186"/>
      <c r="I7" s="121">
        <f>40*$P$4/$P$7</f>
        <v>244000</v>
      </c>
      <c r="J7" s="91"/>
      <c r="K7" s="91"/>
      <c r="L7" s="121"/>
      <c r="M7" s="91"/>
      <c r="N7" s="122"/>
      <c r="P7" s="62">
        <f>буквы!P6</f>
        <v>1</v>
      </c>
    </row>
    <row r="8" spans="1:16">
      <c r="A8" s="10">
        <f>A7+1</f>
        <v>60</v>
      </c>
      <c r="B8" s="176" t="s">
        <v>115</v>
      </c>
      <c r="C8" s="177"/>
      <c r="D8" s="177"/>
      <c r="E8" s="177"/>
      <c r="F8" s="177"/>
      <c r="G8" s="177"/>
      <c r="H8" s="178"/>
      <c r="I8" s="121">
        <f>40*$P$4/$P$7</f>
        <v>244000</v>
      </c>
      <c r="J8" s="91"/>
      <c r="K8" s="91"/>
      <c r="L8" s="121"/>
      <c r="M8" s="91"/>
      <c r="N8" s="122"/>
    </row>
    <row r="9" spans="1:16">
      <c r="A9" s="10">
        <f t="shared" ref="A9:A10" si="0">A8+1</f>
        <v>61</v>
      </c>
      <c r="B9" s="176" t="s">
        <v>163</v>
      </c>
      <c r="C9" s="177"/>
      <c r="D9" s="177"/>
      <c r="E9" s="177"/>
      <c r="F9" s="177"/>
      <c r="G9" s="177"/>
      <c r="H9" s="178"/>
      <c r="I9" s="121">
        <f>70*$P$4/$P$7</f>
        <v>427000</v>
      </c>
      <c r="J9" s="91"/>
      <c r="K9" s="91"/>
      <c r="L9" s="67"/>
      <c r="M9" s="66"/>
      <c r="N9" s="68"/>
    </row>
    <row r="10" spans="1:16">
      <c r="A10" s="10">
        <f t="shared" si="0"/>
        <v>62</v>
      </c>
      <c r="B10" s="176" t="s">
        <v>162</v>
      </c>
      <c r="C10" s="177"/>
      <c r="D10" s="177"/>
      <c r="E10" s="177"/>
      <c r="F10" s="177"/>
      <c r="G10" s="177"/>
      <c r="H10" s="178"/>
      <c r="I10" s="121">
        <f>80*$P$4/$P$7</f>
        <v>488000</v>
      </c>
      <c r="J10" s="91"/>
      <c r="K10" s="91"/>
      <c r="L10" s="54"/>
      <c r="M10" s="53"/>
      <c r="N10" s="55"/>
    </row>
    <row r="11" spans="1:16">
      <c r="A11" s="10">
        <f>A10+1</f>
        <v>63</v>
      </c>
      <c r="B11" s="176" t="s">
        <v>148</v>
      </c>
      <c r="C11" s="177"/>
      <c r="D11" s="177"/>
      <c r="E11" s="177"/>
      <c r="F11" s="177"/>
      <c r="G11" s="177"/>
      <c r="H11" s="178"/>
      <c r="I11" s="121">
        <f>505*$P$4/$P$7</f>
        <v>3080500</v>
      </c>
      <c r="J11" s="91"/>
      <c r="K11" s="91"/>
      <c r="L11" s="54"/>
      <c r="M11" s="53"/>
      <c r="N11" s="55"/>
    </row>
    <row r="12" spans="1:16">
      <c r="A12" s="10">
        <f t="shared" ref="A12:A16" si="1">A11+1</f>
        <v>64</v>
      </c>
      <c r="B12" s="176" t="s">
        <v>116</v>
      </c>
      <c r="C12" s="177"/>
      <c r="D12" s="177"/>
      <c r="E12" s="177"/>
      <c r="F12" s="177"/>
      <c r="G12" s="177"/>
      <c r="H12" s="178"/>
      <c r="I12" s="121">
        <f>200*$P$4/$P$7</f>
        <v>1220000</v>
      </c>
      <c r="J12" s="91"/>
      <c r="K12" s="91"/>
      <c r="L12" s="54"/>
      <c r="M12" s="53"/>
      <c r="N12" s="55"/>
    </row>
    <row r="13" spans="1:16">
      <c r="A13" s="10">
        <f t="shared" si="1"/>
        <v>65</v>
      </c>
      <c r="B13" s="176" t="s">
        <v>150</v>
      </c>
      <c r="C13" s="177"/>
      <c r="D13" s="177"/>
      <c r="E13" s="177"/>
      <c r="F13" s="177"/>
      <c r="G13" s="177"/>
      <c r="H13" s="178"/>
      <c r="I13" s="121">
        <f>210*$P$4/$P$7</f>
        <v>1281000</v>
      </c>
      <c r="J13" s="91"/>
      <c r="K13" s="91"/>
      <c r="L13" s="70"/>
      <c r="M13" s="69"/>
      <c r="N13" s="71"/>
    </row>
    <row r="14" spans="1:16">
      <c r="A14" s="10">
        <f t="shared" si="1"/>
        <v>66</v>
      </c>
      <c r="B14" s="176" t="s">
        <v>117</v>
      </c>
      <c r="C14" s="177"/>
      <c r="D14" s="177"/>
      <c r="E14" s="177"/>
      <c r="F14" s="177"/>
      <c r="G14" s="177"/>
      <c r="H14" s="178"/>
      <c r="I14" s="121">
        <f>50*$P$4/$P$7</f>
        <v>305000</v>
      </c>
      <c r="J14" s="91"/>
      <c r="K14" s="91"/>
      <c r="L14" s="121"/>
      <c r="M14" s="91"/>
      <c r="N14" s="91"/>
    </row>
    <row r="15" spans="1:16">
      <c r="A15" s="10">
        <f t="shared" si="1"/>
        <v>67</v>
      </c>
      <c r="B15" s="176" t="s">
        <v>149</v>
      </c>
      <c r="C15" s="177"/>
      <c r="D15" s="177"/>
      <c r="E15" s="177"/>
      <c r="F15" s="177"/>
      <c r="G15" s="177"/>
      <c r="H15" s="178"/>
      <c r="I15" s="121">
        <f>85*$P$4/$P$7</f>
        <v>518500</v>
      </c>
      <c r="J15" s="91"/>
      <c r="K15" s="91"/>
      <c r="L15" s="65"/>
      <c r="M15" s="64"/>
      <c r="N15" s="64"/>
    </row>
    <row r="16" spans="1:16">
      <c r="A16" s="10">
        <f t="shared" si="1"/>
        <v>68</v>
      </c>
      <c r="B16" s="176" t="s">
        <v>118</v>
      </c>
      <c r="C16" s="177"/>
      <c r="D16" s="177"/>
      <c r="E16" s="177"/>
      <c r="F16" s="177"/>
      <c r="G16" s="177"/>
      <c r="H16" s="178"/>
      <c r="I16" s="183" t="s">
        <v>119</v>
      </c>
      <c r="J16" s="91"/>
      <c r="K16" s="91"/>
      <c r="L16" s="121">
        <f>2.2*$P$4/$P$7</f>
        <v>13420.000000000002</v>
      </c>
      <c r="M16" s="91"/>
      <c r="N16" s="91"/>
    </row>
    <row r="17" spans="1:14" ht="13.5" thickBot="1">
      <c r="A17" s="36"/>
      <c r="B17" s="165"/>
      <c r="C17" s="165"/>
      <c r="D17" s="165"/>
      <c r="E17" s="165"/>
      <c r="F17" s="165"/>
      <c r="G17" s="164"/>
      <c r="H17" s="164"/>
      <c r="I17" s="144"/>
      <c r="J17" s="144"/>
      <c r="K17" s="144"/>
      <c r="L17" s="57"/>
      <c r="M17" s="57"/>
      <c r="N17" s="57"/>
    </row>
    <row r="18" spans="1:14" ht="13.5" customHeight="1" thickBot="1">
      <c r="D18" s="28"/>
      <c r="E18" s="63" t="s">
        <v>121</v>
      </c>
      <c r="F18" s="188" t="s">
        <v>72</v>
      </c>
      <c r="G18" s="189"/>
      <c r="H18" s="190"/>
      <c r="I18" s="182" t="s">
        <v>64</v>
      </c>
      <c r="J18" s="146"/>
      <c r="K18" s="146"/>
      <c r="L18" s="145"/>
      <c r="M18" s="146"/>
      <c r="N18" s="166"/>
    </row>
    <row r="19" spans="1:14">
      <c r="B19" s="187" t="s">
        <v>122</v>
      </c>
      <c r="C19" s="162"/>
      <c r="D19" s="162"/>
      <c r="E19" s="162"/>
      <c r="F19" s="20"/>
      <c r="G19" s="19"/>
      <c r="H19" s="20"/>
      <c r="I19" s="19"/>
      <c r="J19" s="20"/>
      <c r="K19" s="19"/>
      <c r="L19" s="20"/>
      <c r="M19" s="19"/>
      <c r="N19" s="20"/>
    </row>
    <row r="20" spans="1:14">
      <c r="A20" s="44"/>
      <c r="B20" s="163"/>
      <c r="C20" s="163"/>
      <c r="D20" s="163"/>
      <c r="E20" s="163"/>
      <c r="F20" s="8"/>
      <c r="G20" s="8"/>
      <c r="H20" s="8"/>
      <c r="I20" s="8"/>
      <c r="J20" s="8"/>
      <c r="K20" s="8"/>
      <c r="L20" s="8"/>
      <c r="M20" s="8"/>
      <c r="N20" s="8"/>
    </row>
    <row r="21" spans="1:14">
      <c r="A21" s="10">
        <f>A16+1</f>
        <v>69</v>
      </c>
      <c r="B21" s="176" t="s">
        <v>123</v>
      </c>
      <c r="C21" s="177"/>
      <c r="D21" s="177"/>
      <c r="E21" s="177"/>
      <c r="F21" s="121">
        <f>0.046*$P$4/$P$7</f>
        <v>280.60000000000002</v>
      </c>
      <c r="G21" s="91"/>
      <c r="H21" s="91"/>
      <c r="I21" s="121">
        <f>0.06*$P$4/$P$7</f>
        <v>366</v>
      </c>
      <c r="J21" s="91"/>
      <c r="K21" s="91"/>
      <c r="L21" s="121" t="s">
        <v>133</v>
      </c>
      <c r="M21" s="91"/>
      <c r="N21" s="91"/>
    </row>
    <row r="22" spans="1:14">
      <c r="A22" s="10">
        <f>A21+1</f>
        <v>70</v>
      </c>
      <c r="B22" s="176" t="s">
        <v>124</v>
      </c>
      <c r="C22" s="177"/>
      <c r="D22" s="177"/>
      <c r="E22" s="177"/>
      <c r="F22" s="121">
        <f>0.6*$P$4/$P$7</f>
        <v>3660</v>
      </c>
      <c r="G22" s="91"/>
      <c r="H22" s="91"/>
      <c r="I22" s="121">
        <f>1*$P$4/$P$7</f>
        <v>6100</v>
      </c>
      <c r="J22" s="91"/>
      <c r="K22" s="91"/>
      <c r="L22" s="121"/>
      <c r="M22" s="91"/>
      <c r="N22" s="122"/>
    </row>
    <row r="23" spans="1:14">
      <c r="A23" s="10">
        <f t="shared" ref="A23:A30" si="2">A22+1</f>
        <v>71</v>
      </c>
      <c r="B23" s="176" t="s">
        <v>125</v>
      </c>
      <c r="C23" s="177"/>
      <c r="D23" s="177"/>
      <c r="E23" s="177"/>
      <c r="F23" s="121">
        <f>0.6*$P$4/$P$7</f>
        <v>3660</v>
      </c>
      <c r="G23" s="91"/>
      <c r="H23" s="91"/>
      <c r="I23" s="121">
        <f>1*$P$4/$P$7</f>
        <v>6100</v>
      </c>
      <c r="J23" s="91"/>
      <c r="K23" s="91"/>
      <c r="L23" s="54"/>
      <c r="M23" s="53"/>
      <c r="N23" s="55"/>
    </row>
    <row r="24" spans="1:14">
      <c r="A24" s="10">
        <f t="shared" si="2"/>
        <v>72</v>
      </c>
      <c r="B24" s="176" t="s">
        <v>126</v>
      </c>
      <c r="C24" s="177"/>
      <c r="D24" s="177"/>
      <c r="E24" s="177"/>
      <c r="F24" s="121">
        <f>0.183*$P$4/$P$7</f>
        <v>1116.3</v>
      </c>
      <c r="G24" s="91"/>
      <c r="H24" s="91"/>
      <c r="I24" s="121">
        <f>0.3*$P$4/$P$7</f>
        <v>1830</v>
      </c>
      <c r="J24" s="91"/>
      <c r="K24" s="91"/>
      <c r="L24" s="54"/>
      <c r="M24" s="53"/>
      <c r="N24" s="55"/>
    </row>
    <row r="25" spans="1:14">
      <c r="A25" s="10">
        <f t="shared" si="2"/>
        <v>73</v>
      </c>
      <c r="B25" s="176" t="s">
        <v>127</v>
      </c>
      <c r="C25" s="177"/>
      <c r="D25" s="177"/>
      <c r="E25" s="177"/>
      <c r="F25" s="121">
        <f>0.55*$P$4/$P$7</f>
        <v>3355.0000000000005</v>
      </c>
      <c r="G25" s="91"/>
      <c r="H25" s="91"/>
      <c r="I25" s="121">
        <f>0.9*$P$4/$P$7</f>
        <v>5490</v>
      </c>
      <c r="J25" s="91"/>
      <c r="K25" s="91"/>
      <c r="L25" s="54"/>
      <c r="M25" s="53"/>
      <c r="N25" s="55"/>
    </row>
    <row r="26" spans="1:14">
      <c r="A26" s="10">
        <f t="shared" si="2"/>
        <v>74</v>
      </c>
      <c r="B26" s="176" t="s">
        <v>128</v>
      </c>
      <c r="C26" s="177"/>
      <c r="D26" s="177"/>
      <c r="E26" s="177"/>
      <c r="F26" s="121">
        <f>0.95*$P$4/$P$7</f>
        <v>5795</v>
      </c>
      <c r="G26" s="91"/>
      <c r="H26" s="91"/>
      <c r="I26" s="121">
        <f>1.4*$P$4/$P$7</f>
        <v>8540</v>
      </c>
      <c r="J26" s="91"/>
      <c r="K26" s="91"/>
      <c r="L26" s="121"/>
      <c r="M26" s="91"/>
      <c r="N26" s="91"/>
    </row>
    <row r="27" spans="1:14">
      <c r="A27" s="10">
        <f t="shared" si="2"/>
        <v>75</v>
      </c>
      <c r="B27" s="176" t="s">
        <v>129</v>
      </c>
      <c r="C27" s="177"/>
      <c r="D27" s="177"/>
      <c r="E27" s="177"/>
      <c r="F27" s="121">
        <f>0.9*$P$4/$P$7</f>
        <v>5490</v>
      </c>
      <c r="G27" s="91"/>
      <c r="H27" s="91"/>
      <c r="I27" s="54"/>
      <c r="J27" s="53"/>
      <c r="K27" s="53"/>
      <c r="L27" s="121" t="s">
        <v>134</v>
      </c>
      <c r="M27" s="91"/>
      <c r="N27" s="91"/>
    </row>
    <row r="28" spans="1:14">
      <c r="A28" s="10">
        <f t="shared" si="2"/>
        <v>76</v>
      </c>
      <c r="B28" s="176" t="s">
        <v>130</v>
      </c>
      <c r="C28" s="177"/>
      <c r="D28" s="177"/>
      <c r="E28" s="177"/>
      <c r="F28" s="121">
        <f>0.16*$P$4/$P$7</f>
        <v>976</v>
      </c>
      <c r="G28" s="91"/>
      <c r="H28" s="91"/>
      <c r="I28" s="54"/>
      <c r="J28" s="53"/>
      <c r="K28" s="53"/>
      <c r="L28" s="121" t="s">
        <v>135</v>
      </c>
      <c r="M28" s="91"/>
      <c r="N28" s="91"/>
    </row>
    <row r="29" spans="1:14">
      <c r="A29" s="10">
        <f t="shared" si="2"/>
        <v>77</v>
      </c>
      <c r="B29" s="176" t="s">
        <v>131</v>
      </c>
      <c r="C29" s="177"/>
      <c r="D29" s="177"/>
      <c r="E29" s="177"/>
      <c r="F29" s="121">
        <f>0.53*$P$4/$P$7</f>
        <v>3233</v>
      </c>
      <c r="G29" s="91"/>
      <c r="H29" s="91"/>
      <c r="I29" s="54"/>
      <c r="J29" s="53"/>
      <c r="K29" s="53"/>
      <c r="L29" s="121" t="s">
        <v>135</v>
      </c>
      <c r="M29" s="91"/>
      <c r="N29" s="91"/>
    </row>
    <row r="30" spans="1:14">
      <c r="A30" s="10">
        <f t="shared" si="2"/>
        <v>78</v>
      </c>
      <c r="B30" s="176" t="s">
        <v>132</v>
      </c>
      <c r="C30" s="177"/>
      <c r="D30" s="177"/>
      <c r="E30" s="177"/>
      <c r="F30" s="121">
        <f>0.74*$P$4/$P$7</f>
        <v>4514</v>
      </c>
      <c r="G30" s="91"/>
      <c r="H30" s="91"/>
      <c r="I30" s="183"/>
      <c r="J30" s="91"/>
      <c r="K30" s="91"/>
      <c r="L30" s="121" t="s">
        <v>135</v>
      </c>
      <c r="M30" s="91"/>
      <c r="N30" s="91"/>
    </row>
    <row r="31" spans="1:14" ht="13.5" thickBot="1"/>
    <row r="32" spans="1:14" ht="13.5" thickBot="1">
      <c r="D32" s="28"/>
      <c r="E32" s="61"/>
      <c r="F32" s="179"/>
      <c r="G32" s="180"/>
      <c r="H32" s="181"/>
      <c r="I32" s="182" t="s">
        <v>140</v>
      </c>
      <c r="J32" s="146"/>
      <c r="K32" s="146"/>
      <c r="L32" s="145"/>
      <c r="M32" s="146"/>
      <c r="N32" s="166"/>
    </row>
    <row r="33" spans="1:14">
      <c r="B33" s="187" t="s">
        <v>136</v>
      </c>
      <c r="C33" s="162"/>
      <c r="D33" s="162"/>
      <c r="E33" s="162"/>
      <c r="F33" s="20"/>
      <c r="G33" s="19"/>
      <c r="H33" s="20"/>
      <c r="I33" s="19"/>
      <c r="J33" s="20"/>
      <c r="K33" s="19"/>
      <c r="L33" s="20"/>
      <c r="M33" s="19"/>
      <c r="N33" s="20"/>
    </row>
    <row r="34" spans="1:14">
      <c r="A34" s="44"/>
      <c r="B34" s="163"/>
      <c r="C34" s="163"/>
      <c r="D34" s="163"/>
      <c r="E34" s="163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10">
        <f>A30+1</f>
        <v>79</v>
      </c>
      <c r="B35" s="184" t="s">
        <v>144</v>
      </c>
      <c r="C35" s="185"/>
      <c r="D35" s="185"/>
      <c r="E35" s="185"/>
      <c r="F35" s="185"/>
      <c r="G35" s="185"/>
      <c r="H35" s="186"/>
      <c r="I35" s="121">
        <v>36000</v>
      </c>
      <c r="J35" s="91"/>
      <c r="K35" s="91"/>
      <c r="L35" s="183" t="s">
        <v>137</v>
      </c>
      <c r="M35" s="91"/>
      <c r="N35" s="122"/>
    </row>
    <row r="36" spans="1:14">
      <c r="A36" s="10">
        <f>A35+1</f>
        <v>80</v>
      </c>
      <c r="B36" s="176" t="s">
        <v>141</v>
      </c>
      <c r="C36" s="177"/>
      <c r="D36" s="177"/>
      <c r="E36" s="177"/>
      <c r="F36" s="177"/>
      <c r="G36" s="177"/>
      <c r="H36" s="178"/>
      <c r="I36" s="121">
        <f>1.5*$P$4/$P$7</f>
        <v>9150</v>
      </c>
      <c r="J36" s="91"/>
      <c r="K36" s="91"/>
      <c r="L36" s="59"/>
      <c r="M36" s="58"/>
      <c r="N36" s="60"/>
    </row>
    <row r="37" spans="1:14">
      <c r="A37" s="10">
        <f t="shared" ref="A37:A38" si="3">A36+1</f>
        <v>81</v>
      </c>
      <c r="B37" s="176" t="s">
        <v>142</v>
      </c>
      <c r="C37" s="177"/>
      <c r="D37" s="177"/>
      <c r="E37" s="177"/>
      <c r="F37" s="177"/>
      <c r="G37" s="177"/>
      <c r="H37" s="178"/>
      <c r="I37" s="121">
        <f>2.5*$P$4/$P$7</f>
        <v>15250</v>
      </c>
      <c r="J37" s="91"/>
      <c r="K37" s="91"/>
      <c r="L37" s="59"/>
      <c r="M37" s="58"/>
      <c r="N37" s="60"/>
    </row>
    <row r="38" spans="1:14">
      <c r="A38" s="10">
        <f t="shared" si="3"/>
        <v>82</v>
      </c>
      <c r="B38" s="176" t="s">
        <v>138</v>
      </c>
      <c r="C38" s="177"/>
      <c r="D38" s="177"/>
      <c r="E38" s="177"/>
      <c r="F38" s="177"/>
      <c r="G38" s="177"/>
      <c r="H38" s="178"/>
      <c r="I38" s="121">
        <f>5*$P$4/$P$7</f>
        <v>30500</v>
      </c>
      <c r="J38" s="91"/>
      <c r="K38" s="91"/>
      <c r="L38" s="59"/>
      <c r="M38" s="58"/>
      <c r="N38" s="60"/>
    </row>
    <row r="39" spans="1:14">
      <c r="A39" s="10">
        <f t="shared" ref="A39:A40" si="4">A38+1</f>
        <v>83</v>
      </c>
      <c r="B39" s="176" t="s">
        <v>139</v>
      </c>
      <c r="C39" s="177"/>
      <c r="D39" s="177"/>
      <c r="E39" s="177"/>
      <c r="F39" s="177"/>
      <c r="G39" s="177"/>
      <c r="H39" s="178"/>
      <c r="I39" s="121">
        <f>110*$P$4/$P$7</f>
        <v>671000</v>
      </c>
      <c r="J39" s="91"/>
      <c r="K39" s="91"/>
      <c r="L39" s="59"/>
      <c r="M39" s="58"/>
      <c r="N39" s="60"/>
    </row>
    <row r="40" spans="1:14">
      <c r="A40" s="10">
        <f t="shared" si="4"/>
        <v>84</v>
      </c>
      <c r="B40" s="176" t="s">
        <v>145</v>
      </c>
      <c r="C40" s="177"/>
      <c r="D40" s="177"/>
      <c r="E40" s="177"/>
      <c r="F40" s="177"/>
      <c r="G40" s="177"/>
      <c r="H40" s="178"/>
      <c r="I40" s="59"/>
      <c r="J40" s="58"/>
      <c r="K40" s="58"/>
      <c r="L40" s="121" t="s">
        <v>120</v>
      </c>
      <c r="M40" s="91"/>
      <c r="N40" s="91"/>
    </row>
    <row r="41" spans="1:14">
      <c r="A41" s="10"/>
      <c r="B41" s="176"/>
      <c r="C41" s="177"/>
      <c r="D41" s="177"/>
      <c r="E41" s="177"/>
      <c r="F41" s="177"/>
      <c r="G41" s="177"/>
      <c r="H41" s="178"/>
      <c r="I41" s="183"/>
      <c r="J41" s="91"/>
      <c r="K41" s="91"/>
      <c r="L41" s="121"/>
      <c r="M41" s="91"/>
      <c r="N41" s="91"/>
    </row>
    <row r="43" spans="1:14">
      <c r="B43" s="108" t="s">
        <v>31</v>
      </c>
      <c r="C43" s="109"/>
      <c r="D43" s="78" t="s">
        <v>32</v>
      </c>
      <c r="E43" s="79"/>
      <c r="F43" s="80"/>
      <c r="G43" s="80"/>
      <c r="H43" s="80"/>
    </row>
    <row r="44" spans="1:14" ht="12.75" customHeight="1">
      <c r="B44" s="108" t="s">
        <v>143</v>
      </c>
      <c r="C44" s="108"/>
      <c r="D44" s="108"/>
      <c r="E44" s="108"/>
      <c r="F44" s="108"/>
      <c r="G44" s="108"/>
      <c r="H44" s="108"/>
    </row>
  </sheetData>
  <mergeCells count="97">
    <mergeCell ref="B27:E27"/>
    <mergeCell ref="B28:E28"/>
    <mergeCell ref="B29:E29"/>
    <mergeCell ref="I21:K21"/>
    <mergeCell ref="I22:K22"/>
    <mergeCell ref="B11:H11"/>
    <mergeCell ref="B12:H12"/>
    <mergeCell ref="B9:H9"/>
    <mergeCell ref="L22:N22"/>
    <mergeCell ref="I23:K23"/>
    <mergeCell ref="I15:K15"/>
    <mergeCell ref="I9:K9"/>
    <mergeCell ref="B14:H14"/>
    <mergeCell ref="I14:K14"/>
    <mergeCell ref="B19:E19"/>
    <mergeCell ref="B20:E20"/>
    <mergeCell ref="B17:F17"/>
    <mergeCell ref="G17:H17"/>
    <mergeCell ref="F18:H18"/>
    <mergeCell ref="B15:H15"/>
    <mergeCell ref="I11:K11"/>
    <mergeCell ref="B5:E5"/>
    <mergeCell ref="B6:E6"/>
    <mergeCell ref="B7:H7"/>
    <mergeCell ref="B8:H8"/>
    <mergeCell ref="B10:H10"/>
    <mergeCell ref="C1:N1"/>
    <mergeCell ref="C2:J2"/>
    <mergeCell ref="K2:N2"/>
    <mergeCell ref="I4:K4"/>
    <mergeCell ref="L4:N4"/>
    <mergeCell ref="F4:H4"/>
    <mergeCell ref="I12:K12"/>
    <mergeCell ref="L14:N14"/>
    <mergeCell ref="L16:N16"/>
    <mergeCell ref="I18:K18"/>
    <mergeCell ref="I7:K7"/>
    <mergeCell ref="L7:N7"/>
    <mergeCell ref="I8:K8"/>
    <mergeCell ref="L8:N8"/>
    <mergeCell ref="I10:K10"/>
    <mergeCell ref="I16:K16"/>
    <mergeCell ref="B16:H16"/>
    <mergeCell ref="L40:N40"/>
    <mergeCell ref="B35:H35"/>
    <mergeCell ref="I35:K35"/>
    <mergeCell ref="L35:N35"/>
    <mergeCell ref="B36:H36"/>
    <mergeCell ref="I36:K36"/>
    <mergeCell ref="F27:H27"/>
    <mergeCell ref="F28:H28"/>
    <mergeCell ref="F29:H29"/>
    <mergeCell ref="L18:N18"/>
    <mergeCell ref="L21:N21"/>
    <mergeCell ref="L32:N32"/>
    <mergeCell ref="B33:E33"/>
    <mergeCell ref="B34:E34"/>
    <mergeCell ref="B26:E26"/>
    <mergeCell ref="L41:N41"/>
    <mergeCell ref="B37:H37"/>
    <mergeCell ref="I37:K37"/>
    <mergeCell ref="B21:E21"/>
    <mergeCell ref="F21:H21"/>
    <mergeCell ref="L28:N28"/>
    <mergeCell ref="L29:N29"/>
    <mergeCell ref="I25:K25"/>
    <mergeCell ref="L26:N26"/>
    <mergeCell ref="I30:K30"/>
    <mergeCell ref="L30:N30"/>
    <mergeCell ref="I26:K26"/>
    <mergeCell ref="L27:N27"/>
    <mergeCell ref="I24:K24"/>
    <mergeCell ref="F30:H30"/>
    <mergeCell ref="B25:E25"/>
    <mergeCell ref="B13:H13"/>
    <mergeCell ref="I13:K13"/>
    <mergeCell ref="B38:H38"/>
    <mergeCell ref="I38:K38"/>
    <mergeCell ref="B39:H39"/>
    <mergeCell ref="I39:K39"/>
    <mergeCell ref="I17:K17"/>
    <mergeCell ref="B22:E22"/>
    <mergeCell ref="B23:E23"/>
    <mergeCell ref="B24:E24"/>
    <mergeCell ref="F22:H22"/>
    <mergeCell ref="F23:H23"/>
    <mergeCell ref="F24:H24"/>
    <mergeCell ref="B30:E30"/>
    <mergeCell ref="F25:H25"/>
    <mergeCell ref="F26:H26"/>
    <mergeCell ref="B43:C43"/>
    <mergeCell ref="B44:H44"/>
    <mergeCell ref="B40:H40"/>
    <mergeCell ref="F32:H32"/>
    <mergeCell ref="I32:K32"/>
    <mergeCell ref="B41:H41"/>
    <mergeCell ref="I41:K41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6"/>
  <sheetViews>
    <sheetView showGridLines="0" view="pageBreakPreview" zoomScale="115" zoomScaleSheetLayoutView="115" workbookViewId="0">
      <selection activeCell="A30" sqref="A30"/>
    </sheetView>
  </sheetViews>
  <sheetFormatPr defaultRowHeight="12.75"/>
  <cols>
    <col min="1" max="1" width="4.7109375" style="6" customWidth="1"/>
    <col min="2" max="2" width="8.140625" style="6" customWidth="1"/>
    <col min="3" max="3" width="12.7109375" style="6" customWidth="1"/>
    <col min="4" max="4" width="6.7109375" style="6" customWidth="1"/>
    <col min="5" max="5" width="5.7109375" style="6" customWidth="1"/>
    <col min="6" max="6" width="4.7109375" style="6" customWidth="1"/>
    <col min="7" max="7" width="6.28515625" style="6" customWidth="1"/>
    <col min="8" max="8" width="7.7109375" style="6" customWidth="1"/>
    <col min="9" max="14" width="5.140625" style="6" customWidth="1"/>
    <col min="15" max="16384" width="9.140625" style="6"/>
  </cols>
  <sheetData>
    <row r="1" spans="1:16" ht="42.75" customHeight="1">
      <c r="C1" s="90" t="str">
        <f>буквы!C1</f>
        <v>Рекламное агентство "VITA-Sign". Головной офис: Республика Узбекистан, г.Ташкент, ул. Мукими, 1проезд,7, тел.: 253-68-02, e-mail: vita-sign@mail.ru; www\\uz-reklama.uz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6">
      <c r="C2" s="98"/>
      <c r="D2" s="98"/>
      <c r="E2" s="98"/>
      <c r="F2" s="98"/>
      <c r="G2" s="98"/>
      <c r="H2" s="98"/>
      <c r="I2" s="98"/>
      <c r="J2" s="98"/>
      <c r="K2" s="93">
        <f>буквы!K2</f>
        <v>42248</v>
      </c>
      <c r="L2" s="93"/>
      <c r="M2" s="93"/>
      <c r="N2" s="93"/>
    </row>
    <row r="3" spans="1:16" ht="13.5" thickBot="1"/>
    <row r="4" spans="1:16" ht="13.5" thickBot="1">
      <c r="D4" s="50"/>
      <c r="E4" s="192"/>
      <c r="F4" s="193"/>
      <c r="G4" s="137"/>
      <c r="H4" s="138"/>
      <c r="I4" s="145" t="s">
        <v>88</v>
      </c>
      <c r="J4" s="146"/>
      <c r="K4" s="146"/>
      <c r="L4" s="34"/>
      <c r="M4" s="161"/>
      <c r="N4" s="140"/>
      <c r="O4" s="7" t="s">
        <v>0</v>
      </c>
      <c r="P4" s="8">
        <f>буквы!P4</f>
        <v>6100</v>
      </c>
    </row>
    <row r="5" spans="1:16" ht="20.100000000000001" customHeight="1">
      <c r="B5" s="162" t="s">
        <v>83</v>
      </c>
      <c r="C5" s="162"/>
      <c r="D5" s="162"/>
      <c r="E5" s="162"/>
      <c r="F5" s="20"/>
      <c r="G5" s="19"/>
      <c r="H5" s="20"/>
      <c r="I5" s="19"/>
      <c r="J5" s="20"/>
      <c r="K5" s="19"/>
      <c r="L5" s="20"/>
      <c r="M5" s="19"/>
      <c r="N5" s="20"/>
      <c r="O5" s="7"/>
      <c r="P5" s="8"/>
    </row>
    <row r="6" spans="1:16" ht="15" customHeight="1">
      <c r="A6" s="10">
        <f>'ВЫСТАВ ИНВЕНТАРЬ'!A40+1</f>
        <v>85</v>
      </c>
      <c r="B6" s="96" t="s">
        <v>84</v>
      </c>
      <c r="C6" s="124"/>
      <c r="D6" s="124"/>
      <c r="E6" s="124"/>
      <c r="F6" s="124"/>
      <c r="G6" s="124"/>
      <c r="H6" s="97"/>
      <c r="I6" s="156">
        <f>12*$P$4/$P$6</f>
        <v>73200</v>
      </c>
      <c r="J6" s="156"/>
      <c r="K6" s="156"/>
      <c r="L6" s="156"/>
      <c r="M6" s="156"/>
      <c r="N6" s="156"/>
      <c r="P6" s="8">
        <f>буквы!P6</f>
        <v>1</v>
      </c>
    </row>
    <row r="7" spans="1:16" ht="15" customHeight="1">
      <c r="A7" s="10">
        <f>A6+1</f>
        <v>86</v>
      </c>
      <c r="B7" s="96" t="s">
        <v>1</v>
      </c>
      <c r="C7" s="124"/>
      <c r="D7" s="124"/>
      <c r="E7" s="124"/>
      <c r="F7" s="124"/>
      <c r="G7" s="124"/>
      <c r="H7" s="97"/>
      <c r="I7" s="156">
        <f>20*$P$4/$P$6</f>
        <v>122000</v>
      </c>
      <c r="J7" s="156"/>
      <c r="K7" s="156"/>
      <c r="L7" s="156"/>
      <c r="M7" s="156"/>
      <c r="N7" s="156"/>
      <c r="O7" s="11"/>
    </row>
    <row r="8" spans="1:16" ht="15" customHeight="1">
      <c r="A8" s="10">
        <f>A7+1</f>
        <v>87</v>
      </c>
      <c r="B8" s="157" t="s">
        <v>85</v>
      </c>
      <c r="C8" s="125"/>
      <c r="D8" s="125"/>
      <c r="E8" s="125"/>
      <c r="F8" s="125"/>
      <c r="G8" s="125"/>
      <c r="H8" s="158"/>
      <c r="I8" s="156">
        <f>12*$P$4/$P$6</f>
        <v>73200</v>
      </c>
      <c r="J8" s="156"/>
      <c r="K8" s="156"/>
      <c r="L8" s="156"/>
      <c r="M8" s="156"/>
      <c r="N8" s="156"/>
      <c r="O8" s="11"/>
    </row>
    <row r="9" spans="1:16" ht="15" customHeight="1">
      <c r="A9" s="10">
        <f>A8+1</f>
        <v>88</v>
      </c>
      <c r="B9" s="157" t="s">
        <v>13</v>
      </c>
      <c r="C9" s="125"/>
      <c r="D9" s="125"/>
      <c r="E9" s="125"/>
      <c r="F9" s="125"/>
      <c r="G9" s="125"/>
      <c r="H9" s="158"/>
      <c r="I9" s="156">
        <f>25*$P$4/$P$6</f>
        <v>152500</v>
      </c>
      <c r="J9" s="156"/>
      <c r="K9" s="156"/>
      <c r="L9" s="156"/>
      <c r="M9" s="156"/>
      <c r="N9" s="156"/>
      <c r="O9" s="11"/>
    </row>
    <row r="10" spans="1:16" s="37" customFormat="1" ht="15" customHeight="1">
      <c r="A10" s="36"/>
      <c r="B10" s="51"/>
      <c r="C10" s="51"/>
      <c r="D10" s="51"/>
      <c r="E10" s="51"/>
      <c r="F10" s="51"/>
      <c r="G10" s="51"/>
      <c r="H10" s="51"/>
      <c r="I10" s="38"/>
      <c r="J10" s="38"/>
      <c r="K10" s="38"/>
      <c r="L10" s="38"/>
      <c r="M10" s="38"/>
      <c r="N10" s="38"/>
      <c r="O10" s="26"/>
    </row>
    <row r="11" spans="1:16" ht="20.100000000000001" customHeight="1">
      <c r="B11" s="162" t="s">
        <v>2</v>
      </c>
      <c r="C11" s="162"/>
      <c r="D11" s="162"/>
      <c r="E11" s="162"/>
      <c r="F11" s="20"/>
      <c r="G11" s="19"/>
      <c r="H11" s="20"/>
      <c r="I11" s="19"/>
      <c r="J11" s="20"/>
      <c r="K11" s="19"/>
      <c r="L11" s="20"/>
      <c r="M11" s="19"/>
      <c r="N11" s="20"/>
      <c r="O11" s="7"/>
      <c r="P11" s="8"/>
    </row>
    <row r="12" spans="1:16" ht="15" customHeight="1">
      <c r="A12" s="10">
        <f>A9+1</f>
        <v>89</v>
      </c>
      <c r="B12" s="157" t="s">
        <v>86</v>
      </c>
      <c r="C12" s="125"/>
      <c r="D12" s="125"/>
      <c r="E12" s="125"/>
      <c r="F12" s="125"/>
      <c r="G12" s="125"/>
      <c r="H12" s="158"/>
      <c r="I12" s="156">
        <f>3.5*$P$4/$P$6</f>
        <v>21350</v>
      </c>
      <c r="J12" s="156"/>
      <c r="K12" s="156"/>
      <c r="L12" s="156"/>
      <c r="M12" s="156"/>
      <c r="N12" s="156"/>
      <c r="O12" s="11"/>
    </row>
    <row r="13" spans="1:16" ht="15" customHeight="1">
      <c r="A13" s="10">
        <f>A12+1</f>
        <v>90</v>
      </c>
      <c r="B13" s="157" t="s">
        <v>3</v>
      </c>
      <c r="C13" s="125"/>
      <c r="D13" s="125"/>
      <c r="E13" s="125"/>
      <c r="F13" s="125"/>
      <c r="G13" s="125"/>
      <c r="H13" s="158"/>
      <c r="I13" s="156">
        <f>20*$P$4/$P$6</f>
        <v>122000</v>
      </c>
      <c r="J13" s="156"/>
      <c r="K13" s="156"/>
      <c r="L13" s="121"/>
      <c r="M13" s="91"/>
      <c r="N13" s="122"/>
      <c r="O13" s="11"/>
    </row>
    <row r="14" spans="1:16" ht="15" customHeight="1">
      <c r="A14" s="10">
        <f>A13+1</f>
        <v>91</v>
      </c>
      <c r="B14" s="157" t="s">
        <v>4</v>
      </c>
      <c r="C14" s="125"/>
      <c r="D14" s="125"/>
      <c r="E14" s="125"/>
      <c r="F14" s="125"/>
      <c r="G14" s="125"/>
      <c r="H14" s="158"/>
      <c r="I14" s="156">
        <f>25*$P$4/$P$6</f>
        <v>152500</v>
      </c>
      <c r="J14" s="156"/>
      <c r="K14" s="156"/>
      <c r="L14" s="121"/>
      <c r="M14" s="91"/>
      <c r="N14" s="122"/>
      <c r="O14" s="11"/>
    </row>
    <row r="15" spans="1:16" ht="15" customHeight="1">
      <c r="A15" s="10">
        <f>A14+1</f>
        <v>92</v>
      </c>
      <c r="B15" s="157" t="s">
        <v>5</v>
      </c>
      <c r="C15" s="125"/>
      <c r="D15" s="125"/>
      <c r="E15" s="125"/>
      <c r="F15" s="125"/>
      <c r="G15" s="125"/>
      <c r="H15" s="158"/>
      <c r="I15" s="156">
        <f>30*$P$4/$P$6</f>
        <v>183000</v>
      </c>
      <c r="J15" s="156"/>
      <c r="K15" s="156"/>
      <c r="L15" s="121"/>
      <c r="M15" s="91"/>
      <c r="N15" s="122"/>
      <c r="O15" s="11"/>
    </row>
    <row r="16" spans="1:16" ht="15" customHeight="1">
      <c r="A16" s="10">
        <f t="shared" ref="A16:A17" si="0">A15+1</f>
        <v>93</v>
      </c>
      <c r="B16" s="157" t="s">
        <v>6</v>
      </c>
      <c r="C16" s="125"/>
      <c r="D16" s="125"/>
      <c r="E16" s="125"/>
      <c r="F16" s="125"/>
      <c r="G16" s="125"/>
      <c r="H16" s="158"/>
      <c r="I16" s="156">
        <f>20*$P$4/$P$6</f>
        <v>122000</v>
      </c>
      <c r="J16" s="156"/>
      <c r="K16" s="156"/>
      <c r="L16" s="121"/>
      <c r="M16" s="91"/>
      <c r="N16" s="122"/>
      <c r="O16" s="11"/>
    </row>
    <row r="17" spans="1:16" ht="15" customHeight="1">
      <c r="A17" s="10">
        <f t="shared" si="0"/>
        <v>94</v>
      </c>
      <c r="B17" s="157" t="s">
        <v>7</v>
      </c>
      <c r="C17" s="125"/>
      <c r="D17" s="125"/>
      <c r="E17" s="125"/>
      <c r="F17" s="125"/>
      <c r="G17" s="125"/>
      <c r="H17" s="158"/>
      <c r="I17" s="156">
        <f>40*$P$4/$P$6</f>
        <v>244000</v>
      </c>
      <c r="J17" s="156"/>
      <c r="K17" s="156"/>
      <c r="L17" s="121"/>
      <c r="M17" s="91"/>
      <c r="N17" s="122"/>
      <c r="O17" s="11"/>
    </row>
    <row r="18" spans="1:16" ht="13.5" thickBot="1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6" ht="13.5" thickBot="1">
      <c r="D19" s="11"/>
      <c r="E19" s="11"/>
      <c r="F19" s="11"/>
      <c r="G19" s="137"/>
      <c r="H19" s="138"/>
      <c r="I19" s="145" t="s">
        <v>90</v>
      </c>
      <c r="J19" s="146"/>
      <c r="K19" s="146"/>
      <c r="L19" s="34"/>
      <c r="M19" s="161"/>
      <c r="N19" s="140"/>
      <c r="O19" s="11"/>
    </row>
    <row r="20" spans="1:16" ht="20.100000000000001" customHeight="1">
      <c r="B20" s="114" t="s">
        <v>151</v>
      </c>
      <c r="C20" s="114"/>
      <c r="D20" s="114"/>
      <c r="E20" s="114"/>
      <c r="F20" s="114"/>
      <c r="G20" s="114"/>
      <c r="H20" s="114"/>
      <c r="I20" s="19"/>
      <c r="J20" s="20"/>
      <c r="K20" s="19"/>
      <c r="L20" s="20"/>
      <c r="M20" s="19"/>
      <c r="N20" s="20"/>
      <c r="O20" s="7"/>
      <c r="P20" s="8"/>
    </row>
    <row r="21" spans="1:16" ht="15" customHeight="1">
      <c r="A21" s="10">
        <f>A17+1</f>
        <v>95</v>
      </c>
      <c r="B21" s="157" t="s">
        <v>92</v>
      </c>
      <c r="C21" s="125"/>
      <c r="D21" s="125"/>
      <c r="E21" s="125"/>
      <c r="F21" s="125"/>
      <c r="G21" s="125"/>
      <c r="H21" s="158"/>
      <c r="I21" s="156">
        <f>15*$P$4/$P$6</f>
        <v>91500</v>
      </c>
      <c r="J21" s="156"/>
      <c r="K21" s="156"/>
      <c r="L21" s="191" t="s">
        <v>93</v>
      </c>
      <c r="M21" s="191"/>
      <c r="N21" s="191"/>
      <c r="O21" s="11"/>
    </row>
    <row r="22" spans="1:16" ht="15" customHeight="1">
      <c r="A22" s="10">
        <f>A21+1</f>
        <v>96</v>
      </c>
      <c r="B22" s="157" t="s">
        <v>89</v>
      </c>
      <c r="C22" s="125"/>
      <c r="D22" s="125"/>
      <c r="E22" s="125"/>
      <c r="F22" s="125"/>
      <c r="G22" s="125"/>
      <c r="H22" s="158"/>
      <c r="I22" s="156">
        <f>20*$P$4/$P$6</f>
        <v>122000</v>
      </c>
      <c r="J22" s="156"/>
      <c r="K22" s="156"/>
      <c r="L22" s="121"/>
      <c r="M22" s="91"/>
      <c r="N22" s="122"/>
      <c r="O22" s="11"/>
    </row>
    <row r="23" spans="1:16" ht="15" customHeight="1">
      <c r="A23" s="10">
        <f>A22+1</f>
        <v>97</v>
      </c>
      <c r="B23" s="157" t="s">
        <v>91</v>
      </c>
      <c r="C23" s="125"/>
      <c r="D23" s="125"/>
      <c r="E23" s="125"/>
      <c r="F23" s="125"/>
      <c r="G23" s="125"/>
      <c r="H23" s="158"/>
      <c r="I23" s="121">
        <f>15*$P$4/$P$6</f>
        <v>91500</v>
      </c>
      <c r="J23" s="91"/>
      <c r="K23" s="122"/>
      <c r="L23" s="121"/>
      <c r="M23" s="91"/>
      <c r="N23" s="122"/>
      <c r="O23" s="11"/>
    </row>
    <row r="24" spans="1:16" ht="15" customHeight="1">
      <c r="A24" s="10">
        <f>A23+1</f>
        <v>98</v>
      </c>
      <c r="B24" s="157" t="s">
        <v>146</v>
      </c>
      <c r="C24" s="125"/>
      <c r="D24" s="125"/>
      <c r="E24" s="125"/>
      <c r="F24" s="125"/>
      <c r="G24" s="125"/>
      <c r="H24" s="158"/>
      <c r="I24" s="121">
        <f>7.5*$P$4/$P$6</f>
        <v>45750</v>
      </c>
      <c r="J24" s="91"/>
      <c r="K24" s="122"/>
      <c r="L24" s="191" t="s">
        <v>147</v>
      </c>
      <c r="M24" s="191"/>
      <c r="N24" s="191"/>
      <c r="O24" s="11"/>
    </row>
    <row r="25" spans="1:16" ht="15" customHeight="1">
      <c r="A25" s="10">
        <f>A24+1</f>
        <v>99</v>
      </c>
      <c r="B25" s="157" t="s">
        <v>152</v>
      </c>
      <c r="C25" s="125"/>
      <c r="D25" s="125"/>
      <c r="E25" s="125"/>
      <c r="F25" s="125"/>
      <c r="G25" s="125"/>
      <c r="H25" s="158"/>
      <c r="I25" s="121">
        <f>15*$P$4/$P$6</f>
        <v>91500</v>
      </c>
      <c r="J25" s="91"/>
      <c r="K25" s="122"/>
      <c r="L25" s="191"/>
      <c r="M25" s="191"/>
      <c r="N25" s="191"/>
      <c r="O25" s="11"/>
    </row>
    <row r="26" spans="1:16" ht="13.5" thickBot="1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6" ht="13.5" thickBot="1">
      <c r="D27" s="11"/>
      <c r="E27" s="11"/>
      <c r="F27" s="11"/>
      <c r="G27" s="137"/>
      <c r="H27" s="138"/>
      <c r="I27" s="145" t="s">
        <v>90</v>
      </c>
      <c r="J27" s="146"/>
      <c r="K27" s="146"/>
      <c r="L27" s="52"/>
      <c r="M27" s="161"/>
      <c r="N27" s="140"/>
      <c r="O27" s="11"/>
    </row>
    <row r="28" spans="1:16" ht="20.100000000000001" customHeight="1">
      <c r="B28" s="162" t="s">
        <v>94</v>
      </c>
      <c r="C28" s="162"/>
      <c r="D28" s="162"/>
      <c r="E28" s="162"/>
      <c r="F28" s="20"/>
      <c r="G28" s="19"/>
      <c r="H28" s="20"/>
      <c r="I28" s="19"/>
      <c r="J28" s="20"/>
      <c r="K28" s="19"/>
      <c r="L28" s="20"/>
      <c r="M28" s="19"/>
      <c r="N28" s="20"/>
      <c r="O28" s="7"/>
      <c r="P28" s="8"/>
    </row>
    <row r="29" spans="1:16" ht="15" customHeight="1">
      <c r="A29" s="10">
        <f>A25+1</f>
        <v>100</v>
      </c>
      <c r="B29" s="157" t="s">
        <v>95</v>
      </c>
      <c r="C29" s="125"/>
      <c r="D29" s="125"/>
      <c r="E29" s="125"/>
      <c r="F29" s="125"/>
      <c r="G29" s="125"/>
      <c r="H29" s="158"/>
      <c r="I29" s="156">
        <f>80*$P$4/$P$6</f>
        <v>488000</v>
      </c>
      <c r="J29" s="156"/>
      <c r="K29" s="156"/>
      <c r="L29" s="191"/>
      <c r="M29" s="191"/>
      <c r="N29" s="191"/>
      <c r="O29" s="11"/>
    </row>
    <row r="30" spans="1:16" ht="15" customHeight="1">
      <c r="A30" s="10">
        <f>A29+1</f>
        <v>101</v>
      </c>
      <c r="B30" s="157" t="s">
        <v>96</v>
      </c>
      <c r="C30" s="125"/>
      <c r="D30" s="125"/>
      <c r="E30" s="125"/>
      <c r="F30" s="125"/>
      <c r="G30" s="125"/>
      <c r="H30" s="158"/>
      <c r="I30" s="156">
        <f>20*$P$4/$P$6</f>
        <v>122000</v>
      </c>
      <c r="J30" s="156"/>
      <c r="K30" s="156"/>
      <c r="L30" s="121"/>
      <c r="M30" s="91"/>
      <c r="N30" s="122"/>
      <c r="O30" s="11"/>
    </row>
    <row r="31" spans="1:16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6" ht="20.100000000000001" customHeight="1">
      <c r="B32" s="162" t="s">
        <v>8</v>
      </c>
      <c r="C32" s="162"/>
      <c r="D32" s="162"/>
      <c r="E32" s="162"/>
      <c r="F32" s="20"/>
      <c r="G32" s="19"/>
      <c r="H32" s="20"/>
      <c r="I32" s="19"/>
      <c r="J32" s="20"/>
      <c r="K32" s="19"/>
      <c r="L32" s="20"/>
      <c r="M32" s="19"/>
      <c r="N32" s="20"/>
      <c r="O32" s="7"/>
      <c r="P32" s="8"/>
    </row>
    <row r="33" spans="1:15" ht="15" customHeight="1">
      <c r="A33" s="10">
        <f>A30+1</f>
        <v>102</v>
      </c>
      <c r="B33" s="157" t="s">
        <v>12</v>
      </c>
      <c r="C33" s="125"/>
      <c r="D33" s="125"/>
      <c r="E33" s="125"/>
      <c r="F33" s="125"/>
      <c r="G33" s="125"/>
      <c r="H33" s="158"/>
      <c r="I33" s="156">
        <f>5.3*$P$4/$P$6</f>
        <v>32330</v>
      </c>
      <c r="J33" s="156"/>
      <c r="K33" s="156"/>
      <c r="L33" s="191" t="s">
        <v>9</v>
      </c>
      <c r="M33" s="191"/>
      <c r="N33" s="191"/>
      <c r="O33" s="11"/>
    </row>
    <row r="34" spans="1:15" ht="15" customHeight="1">
      <c r="A34" s="10">
        <f>A33+1</f>
        <v>103</v>
      </c>
      <c r="B34" s="157" t="s">
        <v>87</v>
      </c>
      <c r="C34" s="125"/>
      <c r="D34" s="125"/>
      <c r="E34" s="125"/>
      <c r="F34" s="125"/>
      <c r="G34" s="125"/>
      <c r="H34" s="158"/>
      <c r="I34" s="156">
        <f>4.2*$P$4/$P$6</f>
        <v>25620</v>
      </c>
      <c r="J34" s="156"/>
      <c r="K34" s="156"/>
      <c r="L34" s="121" t="s">
        <v>11</v>
      </c>
      <c r="M34" s="91"/>
      <c r="N34" s="122"/>
      <c r="O34" s="11"/>
    </row>
    <row r="35" spans="1:15" ht="15" customHeight="1">
      <c r="A35" s="10">
        <f>A34+1</f>
        <v>104</v>
      </c>
      <c r="B35" s="157" t="s">
        <v>10</v>
      </c>
      <c r="C35" s="125"/>
      <c r="D35" s="125"/>
      <c r="E35" s="125"/>
      <c r="F35" s="125"/>
      <c r="G35" s="125"/>
      <c r="H35" s="158"/>
      <c r="I35" s="156">
        <f>10.5*$P$4/$P$6</f>
        <v>64050</v>
      </c>
      <c r="J35" s="156"/>
      <c r="K35" s="156"/>
      <c r="L35" s="121" t="s">
        <v>11</v>
      </c>
      <c r="M35" s="91"/>
      <c r="N35" s="122"/>
      <c r="O35" s="11"/>
    </row>
    <row r="36" spans="1:15" ht="15" customHeight="1">
      <c r="A36" s="10"/>
      <c r="B36" s="157"/>
      <c r="C36" s="125"/>
      <c r="D36" s="125"/>
      <c r="E36" s="125"/>
      <c r="F36" s="125"/>
      <c r="G36" s="125"/>
      <c r="H36" s="158"/>
      <c r="I36" s="156"/>
      <c r="J36" s="156"/>
      <c r="K36" s="156"/>
      <c r="L36" s="156"/>
      <c r="M36" s="156"/>
      <c r="N36" s="156"/>
      <c r="O36" s="11"/>
    </row>
  </sheetData>
  <mergeCells count="81">
    <mergeCell ref="B20:H20"/>
    <mergeCell ref="L23:N23"/>
    <mergeCell ref="B21:H21"/>
    <mergeCell ref="I21:K21"/>
    <mergeCell ref="L21:N21"/>
    <mergeCell ref="B22:H22"/>
    <mergeCell ref="I22:K22"/>
    <mergeCell ref="L22:N22"/>
    <mergeCell ref="L16:N16"/>
    <mergeCell ref="L17:N17"/>
    <mergeCell ref="B36:H36"/>
    <mergeCell ref="I36:K36"/>
    <mergeCell ref="L36:N36"/>
    <mergeCell ref="L33:N33"/>
    <mergeCell ref="I33:K33"/>
    <mergeCell ref="B34:H34"/>
    <mergeCell ref="I34:K34"/>
    <mergeCell ref="L34:N34"/>
    <mergeCell ref="B35:H35"/>
    <mergeCell ref="I35:K35"/>
    <mergeCell ref="L35:N35"/>
    <mergeCell ref="G19:H19"/>
    <mergeCell ref="I19:K19"/>
    <mergeCell ref="M19:N19"/>
    <mergeCell ref="B17:H17"/>
    <mergeCell ref="B32:E32"/>
    <mergeCell ref="B33:H33"/>
    <mergeCell ref="B12:H12"/>
    <mergeCell ref="I12:K12"/>
    <mergeCell ref="B13:H13"/>
    <mergeCell ref="B14:H14"/>
    <mergeCell ref="B15:H15"/>
    <mergeCell ref="B16:H16"/>
    <mergeCell ref="I16:K16"/>
    <mergeCell ref="I17:K17"/>
    <mergeCell ref="B23:H23"/>
    <mergeCell ref="I23:K23"/>
    <mergeCell ref="G27:H27"/>
    <mergeCell ref="I27:K27"/>
    <mergeCell ref="B30:H30"/>
    <mergeCell ref="L12:N12"/>
    <mergeCell ref="I13:K13"/>
    <mergeCell ref="I14:K14"/>
    <mergeCell ref="I15:K15"/>
    <mergeCell ref="B8:H8"/>
    <mergeCell ref="I8:K8"/>
    <mergeCell ref="L8:N8"/>
    <mergeCell ref="B9:H9"/>
    <mergeCell ref="I9:K9"/>
    <mergeCell ref="L9:N9"/>
    <mergeCell ref="B11:E11"/>
    <mergeCell ref="L13:N13"/>
    <mergeCell ref="L14:N14"/>
    <mergeCell ref="L15:N15"/>
    <mergeCell ref="B5:E5"/>
    <mergeCell ref="B6:H6"/>
    <mergeCell ref="I6:K6"/>
    <mergeCell ref="L6:N6"/>
    <mergeCell ref="B7:H7"/>
    <mergeCell ref="I7:K7"/>
    <mergeCell ref="L7:N7"/>
    <mergeCell ref="C1:N1"/>
    <mergeCell ref="C2:J2"/>
    <mergeCell ref="K2:N2"/>
    <mergeCell ref="E4:F4"/>
    <mergeCell ref="G4:H4"/>
    <mergeCell ref="I4:K4"/>
    <mergeCell ref="M4:N4"/>
    <mergeCell ref="B24:H24"/>
    <mergeCell ref="I24:K24"/>
    <mergeCell ref="L24:N24"/>
    <mergeCell ref="I30:K30"/>
    <mergeCell ref="L30:N30"/>
    <mergeCell ref="M27:N27"/>
    <mergeCell ref="B28:E28"/>
    <mergeCell ref="B29:H29"/>
    <mergeCell ref="I29:K29"/>
    <mergeCell ref="L29:N29"/>
    <mergeCell ref="B25:H25"/>
    <mergeCell ref="I25:K25"/>
    <mergeCell ref="L25:N25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буквы</vt:lpstr>
      <vt:lpstr>WP</vt:lpstr>
      <vt:lpstr>ГОТОВАЯ ПРОД</vt:lpstr>
      <vt:lpstr>ВЫСТАВ ИНВЕНТАРЬ</vt:lpstr>
      <vt:lpstr>дизайн</vt:lpstr>
      <vt:lpstr>WP!Область_печати</vt:lpstr>
      <vt:lpstr>буквы!Область_печати</vt:lpstr>
      <vt:lpstr>'ВЫСТАВ ИНВЕНТАРЬ'!Область_печати</vt:lpstr>
      <vt:lpstr>'ГОТОВАЯ ПРОД'!Область_печати</vt:lpstr>
      <vt:lpstr>дизайн!Область_печати</vt:lpstr>
    </vt:vector>
  </TitlesOfParts>
  <Company>VITA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</dc:creator>
  <cp:lastModifiedBy>Printer</cp:lastModifiedBy>
  <cp:lastPrinted>2015-09-29T11:02:08Z</cp:lastPrinted>
  <dcterms:created xsi:type="dcterms:W3CDTF">2007-05-01T11:15:42Z</dcterms:created>
  <dcterms:modified xsi:type="dcterms:W3CDTF">2015-11-09T12:58:38Z</dcterms:modified>
</cp:coreProperties>
</file>